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5330" windowHeight="4650" firstSheet="7" activeTab="13"/>
  </bookViews>
  <sheets>
    <sheet name="CPE" sheetId="1" r:id="rId1"/>
    <sheet name="EAEPE COG" sheetId="4" r:id="rId2"/>
    <sheet name="EAEPE CE " sheetId="6" r:id="rId3"/>
    <sheet name="EAEPE CA" sheetId="5" r:id="rId4"/>
    <sheet name="EAEPE CA 2" sheetId="8" r:id="rId5"/>
    <sheet name="EAEPE CA 3" sheetId="7" r:id="rId6"/>
    <sheet name="EAEPE CF" sheetId="9" r:id="rId7"/>
    <sheet name="ID" sheetId="10" r:id="rId8"/>
    <sheet name="EN" sheetId="11" r:id="rId9"/>
    <sheet name="PREGUNTAS" sheetId="12" r:id="rId10"/>
    <sheet name="ING EGR" sheetId="13" r:id="rId11"/>
    <sheet name="INF ADICIONAL 1" sheetId="14" r:id="rId12"/>
    <sheet name="INF ADICIONAL 2" sheetId="15" r:id="rId13"/>
    <sheet name="INF ADICIONAL 3" sheetId="16" r:id="rId14"/>
  </sheets>
  <definedNames>
    <definedName name="_xlnm.Print_Area" localSheetId="4">'EAEPE CA 2'!$A$1:$G$13</definedName>
    <definedName name="_xlnm.Print_Titles" localSheetId="0">CPE!$1:$3</definedName>
    <definedName name="_xlnm.Print_Titles" localSheetId="3">'EAEPE CA'!$1:$8</definedName>
    <definedName name="_xlnm.Print_Titles" localSheetId="4">'EAEPE CA 2'!$1:$8</definedName>
    <definedName name="_xlnm.Print_Titles" localSheetId="5">'EAEPE CA 3'!$1:$7</definedName>
    <definedName name="_xlnm.Print_Titles" localSheetId="2">'EAEPE CE '!$1:$7</definedName>
    <definedName name="_xlnm.Print_Titles" localSheetId="6">'EAEPE CF'!$1:$8</definedName>
    <definedName name="_xlnm.Print_Titles" localSheetId="1">'EAEPE COG'!$1:$7</definedName>
  </definedNames>
  <calcPr calcId="125725"/>
</workbook>
</file>

<file path=xl/calcChain.xml><?xml version="1.0" encoding="utf-8"?>
<calcChain xmlns="http://schemas.openxmlformats.org/spreadsheetml/2006/main">
  <c r="B22" i="15"/>
  <c r="C25" i="13" l="1"/>
  <c r="B33" i="15" l="1"/>
  <c r="B34"/>
  <c r="B32"/>
  <c r="B4" i="14"/>
  <c r="C36" i="9"/>
  <c r="C41" s="1"/>
  <c r="C18"/>
  <c r="B11" i="5"/>
  <c r="D80" i="4"/>
  <c r="E80"/>
  <c r="C80"/>
  <c r="N36" i="1"/>
  <c r="E30"/>
  <c r="D30"/>
  <c r="C30"/>
  <c r="N18"/>
  <c r="M18"/>
  <c r="L18"/>
  <c r="K18"/>
  <c r="J18"/>
  <c r="I18"/>
  <c r="H18"/>
  <c r="G18"/>
  <c r="F18"/>
  <c r="E18"/>
  <c r="D18"/>
  <c r="C18"/>
  <c r="N13"/>
  <c r="M13"/>
  <c r="L13"/>
  <c r="K13"/>
  <c r="J13"/>
  <c r="I13"/>
  <c r="H13"/>
  <c r="G13"/>
  <c r="F13"/>
  <c r="E13"/>
  <c r="D13"/>
  <c r="C13"/>
  <c r="C43"/>
  <c r="C64"/>
  <c r="D64"/>
  <c r="E64"/>
  <c r="F64"/>
  <c r="G64"/>
  <c r="H64"/>
  <c r="I64"/>
  <c r="J64"/>
  <c r="K64"/>
  <c r="L64"/>
  <c r="M64"/>
  <c r="N64"/>
  <c r="B64"/>
  <c r="K67"/>
  <c r="H67"/>
  <c r="E67"/>
  <c r="M36"/>
  <c r="L36"/>
  <c r="K36"/>
  <c r="J36"/>
  <c r="I36"/>
  <c r="H36"/>
  <c r="G36"/>
  <c r="F36"/>
  <c r="E36"/>
  <c r="D36"/>
  <c r="C36"/>
  <c r="N30"/>
  <c r="M30"/>
  <c r="L30"/>
  <c r="K30"/>
  <c r="J30"/>
  <c r="I30"/>
  <c r="H30"/>
  <c r="G30"/>
  <c r="F30"/>
  <c r="N29"/>
  <c r="M29"/>
  <c r="L29"/>
  <c r="K29"/>
  <c r="J29"/>
  <c r="I29"/>
  <c r="H29"/>
  <c r="G29"/>
  <c r="F29"/>
  <c r="E29"/>
  <c r="D29"/>
  <c r="C29"/>
  <c r="N23"/>
  <c r="M23"/>
  <c r="L23"/>
  <c r="K23"/>
  <c r="J23"/>
  <c r="I23"/>
  <c r="H23"/>
  <c r="G23"/>
  <c r="F23"/>
  <c r="E23"/>
  <c r="D23"/>
  <c r="C23"/>
  <c r="N7"/>
  <c r="N5"/>
  <c r="M5"/>
  <c r="L5"/>
  <c r="K5"/>
  <c r="J5"/>
  <c r="I5"/>
  <c r="H5"/>
  <c r="G5"/>
  <c r="F5"/>
  <c r="E5"/>
  <c r="D5"/>
  <c r="C5"/>
  <c r="N43"/>
  <c r="E43"/>
  <c r="D43"/>
  <c r="G43"/>
  <c r="H43"/>
  <c r="I43"/>
  <c r="J43"/>
  <c r="K43"/>
  <c r="L43"/>
  <c r="M43"/>
  <c r="F43"/>
  <c r="N27"/>
  <c r="M27"/>
  <c r="L27"/>
  <c r="K27"/>
  <c r="J27"/>
  <c r="I27"/>
  <c r="H27"/>
  <c r="G27"/>
  <c r="F27"/>
  <c r="E27"/>
  <c r="D27"/>
  <c r="C27"/>
  <c r="N26"/>
  <c r="M26"/>
  <c r="L26"/>
  <c r="K26"/>
  <c r="J26"/>
  <c r="I26"/>
  <c r="H26"/>
  <c r="G26"/>
  <c r="F26"/>
  <c r="E26"/>
  <c r="D26"/>
  <c r="C26"/>
  <c r="N14"/>
  <c r="M14"/>
  <c r="L14"/>
  <c r="K14"/>
  <c r="J14"/>
  <c r="I14"/>
  <c r="H14"/>
  <c r="G14"/>
  <c r="F14"/>
  <c r="E14"/>
  <c r="D14"/>
  <c r="C14"/>
  <c r="B67"/>
  <c r="E19"/>
  <c r="D19"/>
  <c r="B31" i="15" l="1"/>
  <c r="C8" i="11" l="1"/>
  <c r="C15" s="1"/>
  <c r="C27" s="1"/>
  <c r="B7" i="10"/>
  <c r="C7" s="1"/>
  <c r="C9" i="9" l="1"/>
  <c r="B10" i="5"/>
  <c r="N31" i="1"/>
  <c r="N28"/>
  <c r="B16"/>
  <c r="F53"/>
  <c r="E53"/>
  <c r="D53"/>
  <c r="J53"/>
  <c r="I53"/>
  <c r="H53"/>
  <c r="G53"/>
  <c r="M53"/>
  <c r="L53"/>
  <c r="K53"/>
  <c r="M31"/>
  <c r="L31"/>
  <c r="K31"/>
  <c r="J31"/>
  <c r="I31"/>
  <c r="H31"/>
  <c r="G31"/>
  <c r="F31"/>
  <c r="E31"/>
  <c r="D31"/>
  <c r="B29" l="1"/>
  <c r="B30" i="14" s="1"/>
  <c r="M28" i="1"/>
  <c r="E28"/>
  <c r="F28"/>
  <c r="G28"/>
  <c r="H28"/>
  <c r="I28"/>
  <c r="J28"/>
  <c r="K28"/>
  <c r="L28"/>
  <c r="D28"/>
  <c r="C28"/>
  <c r="B27"/>
  <c r="B28" i="14" s="1"/>
  <c r="N25" i="1"/>
  <c r="D25"/>
  <c r="E25"/>
  <c r="F25"/>
  <c r="G25"/>
  <c r="H25"/>
  <c r="I25"/>
  <c r="J25"/>
  <c r="K25"/>
  <c r="L25"/>
  <c r="M25"/>
  <c r="C25"/>
  <c r="N24"/>
  <c r="D24"/>
  <c r="E24"/>
  <c r="F24"/>
  <c r="G24"/>
  <c r="H24"/>
  <c r="I24"/>
  <c r="J24"/>
  <c r="K24"/>
  <c r="L24"/>
  <c r="M24"/>
  <c r="C24"/>
  <c r="B24" s="1"/>
  <c r="B23"/>
  <c r="N17"/>
  <c r="D17"/>
  <c r="E17"/>
  <c r="F17"/>
  <c r="G17"/>
  <c r="H17"/>
  <c r="I17"/>
  <c r="J17"/>
  <c r="K17"/>
  <c r="L17"/>
  <c r="M17"/>
  <c r="C17"/>
  <c r="C31"/>
  <c r="B31" s="1"/>
  <c r="B32" i="14" s="1"/>
  <c r="N19" i="1"/>
  <c r="K19"/>
  <c r="H19"/>
  <c r="F19"/>
  <c r="G19"/>
  <c r="I19"/>
  <c r="J19"/>
  <c r="L19"/>
  <c r="M19"/>
  <c r="C19"/>
  <c r="B9"/>
  <c r="D7"/>
  <c r="E7"/>
  <c r="F7"/>
  <c r="G7"/>
  <c r="H7"/>
  <c r="I7"/>
  <c r="J7"/>
  <c r="K7"/>
  <c r="L7"/>
  <c r="M7"/>
  <c r="C7"/>
  <c r="B7"/>
  <c r="B7" i="14"/>
  <c r="B9"/>
  <c r="B10"/>
  <c r="B11"/>
  <c r="B12"/>
  <c r="B16"/>
  <c r="B17"/>
  <c r="B21"/>
  <c r="B22"/>
  <c r="B36"/>
  <c r="B38"/>
  <c r="B39"/>
  <c r="B40"/>
  <c r="B41"/>
  <c r="B42"/>
  <c r="B45"/>
  <c r="B46"/>
  <c r="B47"/>
  <c r="B48"/>
  <c r="B49"/>
  <c r="B50"/>
  <c r="B51"/>
  <c r="B52"/>
  <c r="B55"/>
  <c r="B56"/>
  <c r="B57"/>
  <c r="B58"/>
  <c r="B59"/>
  <c r="B60"/>
  <c r="B61"/>
  <c r="B62"/>
  <c r="B63"/>
  <c r="B64"/>
  <c r="B65"/>
  <c r="B66"/>
  <c r="B67"/>
  <c r="B68"/>
  <c r="B72"/>
  <c r="B73"/>
  <c r="B74"/>
  <c r="B75"/>
  <c r="B76"/>
  <c r="C26" i="10"/>
  <c r="C14"/>
  <c r="B14"/>
  <c r="B26" s="1"/>
  <c r="B27" i="11"/>
  <c r="D8"/>
  <c r="D25"/>
  <c r="D15"/>
  <c r="D27" s="1"/>
  <c r="E41" i="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9"/>
  <c r="D10" i="5"/>
  <c r="D11"/>
  <c r="D12"/>
  <c r="D13"/>
  <c r="D9"/>
  <c r="C17"/>
  <c r="E17"/>
  <c r="F17"/>
  <c r="G17"/>
  <c r="B17"/>
  <c r="B13" i="6"/>
  <c r="D13" s="1"/>
  <c r="D9"/>
  <c r="D10"/>
  <c r="D8"/>
  <c r="N52" i="1"/>
  <c r="M52"/>
  <c r="L52"/>
  <c r="K52"/>
  <c r="J52"/>
  <c r="I52"/>
  <c r="H52"/>
  <c r="G52"/>
  <c r="F52"/>
  <c r="E52"/>
  <c r="D52"/>
  <c r="C52"/>
  <c r="C10" i="4"/>
  <c r="C12"/>
  <c r="C13"/>
  <c r="C14"/>
  <c r="C15"/>
  <c r="C19"/>
  <c r="C20"/>
  <c r="C24"/>
  <c r="C25"/>
  <c r="C39"/>
  <c r="C41"/>
  <c r="C42"/>
  <c r="C43"/>
  <c r="C44"/>
  <c r="C45"/>
  <c r="C48"/>
  <c r="C49"/>
  <c r="C50"/>
  <c r="C51"/>
  <c r="C52"/>
  <c r="C53"/>
  <c r="C54"/>
  <c r="C55"/>
  <c r="C58"/>
  <c r="C59"/>
  <c r="C60"/>
  <c r="C61"/>
  <c r="C62"/>
  <c r="C63"/>
  <c r="C64"/>
  <c r="C65"/>
  <c r="C66"/>
  <c r="C67"/>
  <c r="C68"/>
  <c r="C69"/>
  <c r="C70"/>
  <c r="C71"/>
  <c r="C75"/>
  <c r="C76"/>
  <c r="C77"/>
  <c r="C78"/>
  <c r="C79"/>
  <c r="B53" i="1"/>
  <c r="B52" s="1"/>
  <c r="B36"/>
  <c r="B37" i="14" s="1"/>
  <c r="B34" i="1"/>
  <c r="B35" i="14" s="1"/>
  <c r="B33" i="1"/>
  <c r="C37" i="4" s="1"/>
  <c r="C4" i="1"/>
  <c r="D4"/>
  <c r="E4"/>
  <c r="F4"/>
  <c r="H4"/>
  <c r="J4"/>
  <c r="L4"/>
  <c r="N4"/>
  <c r="C68"/>
  <c r="D68"/>
  <c r="E68"/>
  <c r="F68"/>
  <c r="G68"/>
  <c r="H68"/>
  <c r="I68"/>
  <c r="J68"/>
  <c r="K68"/>
  <c r="L68"/>
  <c r="M68"/>
  <c r="N68"/>
  <c r="B70"/>
  <c r="B71" i="14" s="1"/>
  <c r="B69" i="1"/>
  <c r="B70" i="14" s="1"/>
  <c r="B43" i="1"/>
  <c r="B42" s="1"/>
  <c r="N42"/>
  <c r="M42"/>
  <c r="L42"/>
  <c r="K42"/>
  <c r="J42"/>
  <c r="I42"/>
  <c r="H42"/>
  <c r="G42"/>
  <c r="F42"/>
  <c r="E42"/>
  <c r="D42"/>
  <c r="C42"/>
  <c r="N32"/>
  <c r="L32"/>
  <c r="J32"/>
  <c r="H32"/>
  <c r="F32"/>
  <c r="D32"/>
  <c r="C32"/>
  <c r="C28" i="4"/>
  <c r="D22" i="1"/>
  <c r="E22"/>
  <c r="F22"/>
  <c r="G22"/>
  <c r="H22"/>
  <c r="I22"/>
  <c r="J22"/>
  <c r="K22"/>
  <c r="L22"/>
  <c r="M22"/>
  <c r="N22"/>
  <c r="C22"/>
  <c r="D12"/>
  <c r="E12"/>
  <c r="F12"/>
  <c r="G12"/>
  <c r="H12"/>
  <c r="I12"/>
  <c r="J12"/>
  <c r="K12"/>
  <c r="L12"/>
  <c r="M12"/>
  <c r="N12"/>
  <c r="B43" i="14" l="1"/>
  <c r="B5" i="1"/>
  <c r="C9" i="4" s="1"/>
  <c r="B26" i="1"/>
  <c r="C30" i="4" s="1"/>
  <c r="B25" i="1"/>
  <c r="B26" i="14" s="1"/>
  <c r="B30" i="1"/>
  <c r="B31" i="14" s="1"/>
  <c r="B19" i="1"/>
  <c r="B13"/>
  <c r="B14"/>
  <c r="B17"/>
  <c r="B18"/>
  <c r="B28"/>
  <c r="B29" i="14" s="1"/>
  <c r="B22" i="1"/>
  <c r="B53" i="14"/>
  <c r="C56" i="4"/>
  <c r="C57"/>
  <c r="B54" i="14"/>
  <c r="C47" i="4"/>
  <c r="B44" i="14"/>
  <c r="C46" i="4"/>
  <c r="C22" i="13" s="1"/>
  <c r="C74" i="4"/>
  <c r="C73"/>
  <c r="B68" i="1"/>
  <c r="C40" i="4"/>
  <c r="C38"/>
  <c r="B34" i="14"/>
  <c r="C35" i="4"/>
  <c r="C33"/>
  <c r="C32"/>
  <c r="C31"/>
  <c r="C29"/>
  <c r="B25" i="14"/>
  <c r="C11" i="4"/>
  <c r="B8" i="14"/>
  <c r="M4" i="1"/>
  <c r="K4"/>
  <c r="I4"/>
  <c r="G4"/>
  <c r="B6" i="14"/>
  <c r="C23" i="13"/>
  <c r="D17" i="5"/>
  <c r="M32" i="1"/>
  <c r="K32"/>
  <c r="I32"/>
  <c r="G32"/>
  <c r="E32"/>
  <c r="B32"/>
  <c r="B4" l="1"/>
  <c r="B5" i="14" s="1"/>
  <c r="B27"/>
  <c r="C34" i="4"/>
  <c r="E34" s="1"/>
  <c r="B18" i="14"/>
  <c r="C21" i="4"/>
  <c r="E21" s="1"/>
  <c r="B15" i="14"/>
  <c r="C18" i="4"/>
  <c r="E18" s="1"/>
  <c r="B19" i="14"/>
  <c r="C22" i="4"/>
  <c r="E22" s="1"/>
  <c r="B20" i="14"/>
  <c r="C23" i="4"/>
  <c r="E23" s="1"/>
  <c r="C72"/>
  <c r="C26" i="13" s="1"/>
  <c r="B69" i="14"/>
  <c r="B33"/>
  <c r="C36" i="4"/>
  <c r="C21" i="13" s="1"/>
  <c r="B24" i="14"/>
  <c r="C27" i="4"/>
  <c r="E27" s="1"/>
  <c r="E9"/>
  <c r="E10"/>
  <c r="E11"/>
  <c r="E12"/>
  <c r="E13"/>
  <c r="E14"/>
  <c r="E15"/>
  <c r="E19"/>
  <c r="E20"/>
  <c r="E24"/>
  <c r="E25"/>
  <c r="E28"/>
  <c r="E29"/>
  <c r="E30"/>
  <c r="E31"/>
  <c r="E32"/>
  <c r="E33"/>
  <c r="E35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C8" l="1"/>
  <c r="E8" s="1"/>
  <c r="E36"/>
  <c r="C26"/>
  <c r="B23" i="14"/>
  <c r="C18" i="13"/>
  <c r="C20" l="1"/>
  <c r="E26" i="4"/>
  <c r="C12" i="1" l="1"/>
  <c r="B12" s="1"/>
  <c r="B76" s="1"/>
  <c r="B13" i="14" l="1"/>
  <c r="C16" i="4"/>
  <c r="B14" i="14"/>
  <c r="C17" i="4"/>
  <c r="E17" s="1"/>
  <c r="C19" i="13" l="1"/>
  <c r="C17" s="1"/>
  <c r="E16" i="4"/>
</calcChain>
</file>

<file path=xl/sharedStrings.xml><?xml version="1.0" encoding="utf-8"?>
<sst xmlns="http://schemas.openxmlformats.org/spreadsheetml/2006/main" count="527" uniqueCount="245">
  <si>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</si>
  <si>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</si>
  <si>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</si>
  <si>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</si>
  <si>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</si>
  <si>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</si>
  <si>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</si>
  <si>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</si>
  <si>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</si>
  <si>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</si>
  <si>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</si>
  <si>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</si>
  <si>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</si>
  <si>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</si>
  <si>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</si>
  <si>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</si>
  <si>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</si>
  <si>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</si>
  <si>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</si>
  <si>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</si>
  <si>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</si>
  <si>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</si>
  <si>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</si>
  <si>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</si>
  <si>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</si>
  <si>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</si>
  <si>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</si>
  <si>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</si>
  <si>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</si>
  <si>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</si>
  <si>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</si>
  <si>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</si>
  <si>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</si>
  <si>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</si>
  <si>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</si>
  <si>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</si>
  <si>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</si>
  <si>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</si>
  <si>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</si>
  <si>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</si>
  <si>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</si>
  <si>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</si>
  <si>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</si>
  <si>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</si>
  <si>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</si>
  <si>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</si>
  <si>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</si>
  <si>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</si>
  <si>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</si>
  <si>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</si>
  <si>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</si>
  <si>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</si>
  <si>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</si>
  <si>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</si>
  <si>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</si>
  <si>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</si>
  <si>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</si>
  <si>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</si>
  <si>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</si>
  <si>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</si>
  <si>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</si>
  <si>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</si>
  <si>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</si>
  <si>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Publico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</si>
  <si>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</si>
  <si>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</si>
  <si>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</si>
  <si>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</si>
  <si>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</si>
  <si>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</si>
  <si>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</si>
  <si>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</si>
  <si>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</si>
  <si>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</si>
  <si>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</si>
  <si>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</si>
  <si>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</si>
  <si>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</si>
  <si>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</si>
  <si>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</si>
  <si>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</si>
  <si>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</si>
  <si>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</si>
  <si>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</si>
  <si>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</si>
  <si>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</si>
  <si>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Estado Analítico del Ejercicio del Presupuesto de Egresos</t>
  </si>
  <si>
    <t>Clasificación por Objeto del Gasto (Capítulo y Concepto)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</si>
  <si>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</si>
  <si>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</si>
  <si>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</si>
  <si>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</si>
  <si>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</si>
  <si>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</si>
  <si>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</si>
  <si>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</si>
  <si>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</si>
  <si>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</si>
  <si>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Materiales y Suministros Para Seguridad</t>
  </si>
  <si>
    <t>Servicios de Comunicación Social y Publicidad.</t>
  </si>
  <si>
    <t>Obra Pública en Bienes de Dominio Público</t>
  </si>
  <si>
    <t>Inversiones Para el Fomento de Actividades Productivas.</t>
  </si>
  <si>
    <t>Adeudos de Ejercicios Fiscales Anteriores (Adefas)</t>
  </si>
  <si>
    <t>Total del Gasto</t>
  </si>
  <si>
    <t>Clasificación Económica (por Tipo de Gasto)</t>
  </si>
  <si>
    <t>Gasto Corriente</t>
  </si>
  <si>
    <t>Gasto de Capital</t>
  </si>
  <si>
    <t>Amortización de la Deuda y Disminución de Pasivos</t>
  </si>
  <si>
    <t>Clasificación Administrativa</t>
  </si>
  <si>
    <t>Dependencia o Unidad Administrativa 7</t>
  </si>
  <si>
    <t>Dependencia o Unidad Administrativa 8</t>
  </si>
  <si>
    <t>Dependencia o Unidad Administrativa xx</t>
  </si>
  <si>
    <t xml:space="preserve">     Total del Gasto</t>
  </si>
  <si>
    <t>Poder Ejecutivo</t>
  </si>
  <si>
    <t>Poder Legislativo</t>
  </si>
  <si>
    <t>Poder Judicial</t>
  </si>
  <si>
    <t>Órganos Autónomos</t>
  </si>
  <si>
    <t xml:space="preserve">      Total del Gasto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</si>
  <si>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</si>
  <si>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</si>
  <si>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</si>
  <si>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</si>
  <si>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</si>
  <si>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Empresariales Financieras No Monetarias con Participación Estatal Mayoritaria</t>
  </si>
  <si>
    <t>Fideicomisos Financieros Públicos con Participación Estatal Mayoritaria</t>
  </si>
  <si>
    <t>Clasificación Funcional (Finalidad y Función)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</si>
  <si>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</si>
  <si>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</si>
  <si>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</si>
  <si>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</si>
  <si>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</si>
  <si>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</si>
  <si>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</si>
  <si>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</si>
  <si>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</si>
  <si>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</si>
  <si>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</si>
  <si>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</si>
  <si>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</si>
  <si>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</si>
  <si>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</si>
  <si>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</si>
  <si>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</si>
  <si>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</si>
  <si>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</si>
  <si>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</si>
  <si>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</si>
  <si>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</si>
  <si>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</si>
  <si>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</si>
  <si>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</si>
  <si>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</si>
  <si>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</si>
  <si>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</si>
  <si>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</si>
  <si>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</si>
  <si>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</si>
  <si>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Endeudamiento Neto</t>
  </si>
  <si>
    <t>Identificación de Crédito o Instrumento</t>
  </si>
  <si>
    <t>Contratación / Colocación</t>
  </si>
  <si>
    <t>Amortización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</si>
  <si>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</si>
  <si>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</si>
  <si>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</si>
  <si>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</si>
  <si>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</si>
  <si>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</si>
  <si>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</si>
  <si>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TOTAL</t>
  </si>
  <si>
    <t>Intereses de la Deuda</t>
  </si>
  <si>
    <t>Total de Intereses de Créditos Bancarios</t>
  </si>
  <si>
    <t>Total de Intereses de Otros Instrumentos de Deuda</t>
  </si>
  <si>
    <t>Impuestos</t>
  </si>
  <si>
    <t>Derechos</t>
  </si>
  <si>
    <t>Productos</t>
  </si>
  <si>
    <t>Aprovechamientos</t>
  </si>
  <si>
    <t>Preguntas / apartados</t>
  </si>
  <si>
    <t>Consideraciones</t>
  </si>
  <si>
    <t>¿Qué es la Ley de Ingresos y cuál es su importancia?</t>
  </si>
  <si>
    <t>¿De dónde obtienen los gobiernos sus ingresos?</t>
  </si>
  <si>
    <t>¿Qué es el Presupuesto de Egresos y cuál es su importancia?</t>
  </si>
  <si>
    <t>¿En qué se gasta?</t>
  </si>
  <si>
    <t>¿Para qué se gasta?</t>
  </si>
  <si>
    <t>¿Qué pueden hacer los ciudadanos?</t>
  </si>
  <si>
    <t>Origen de los Ingresos</t>
  </si>
  <si>
    <t>Importe</t>
  </si>
  <si>
    <t>Cuotas y Aportaciones de seguridad social</t>
  </si>
  <si>
    <t>Contribuciones de mejoras</t>
  </si>
  <si>
    <t>Ingresos por ventas de bienes y servicios</t>
  </si>
  <si>
    <t>Clasificador por Objeto del Gasto</t>
  </si>
  <si>
    <t>Órganos Autónomos*</t>
  </si>
  <si>
    <t>Otras Entidades Paraestatales y organismos</t>
  </si>
  <si>
    <t>Órgano Ejecutivo Municipal</t>
  </si>
  <si>
    <t>Clasificador Funcional del Gasto</t>
  </si>
  <si>
    <t>Otras no clasificadas en funciones anteriores</t>
  </si>
  <si>
    <t>Clasificación por Tipo de Gasto</t>
  </si>
  <si>
    <t>Amortización de la deuda y disminución de pasivos</t>
  </si>
  <si>
    <t>Adición DOF 23-12-2015</t>
  </si>
  <si>
    <t>Prioridades de Gasto</t>
  </si>
  <si>
    <t>Programas y Proyectos</t>
  </si>
  <si>
    <t>Plaza/puesto</t>
  </si>
  <si>
    <t>Número de plazas</t>
  </si>
  <si>
    <t>Remuneraciones</t>
  </si>
  <si>
    <t>De</t>
  </si>
  <si>
    <t>hasta</t>
  </si>
  <si>
    <t>MUNICIPIO DE SAN GREGORIO ATZOMPA, PUEBLA</t>
  </si>
  <si>
    <t>Sector Paraestatal del Gobierno (Federal/Estatal/Municipal) de MUNICIPIO DE SAN GREGORIO ATZOMPA, PUEBLA</t>
  </si>
  <si>
    <t>MUNICIPIO DE SAN GRGORIO ATZOMPA, PUEBLA</t>
  </si>
  <si>
    <t>TESORERÍA MUNICIPAL</t>
  </si>
  <si>
    <t>DIRECCIÓN DE OBRA PÚBLICA</t>
  </si>
  <si>
    <t>NO APLICA</t>
  </si>
  <si>
    <t>P21-0315016</t>
  </si>
  <si>
    <t>Desarrollo Institucional para un Buen Gobierno</t>
  </si>
  <si>
    <t>Desarrollo Social incluyente</t>
  </si>
  <si>
    <t>Desarrollo Ambiental Sustentable</t>
  </si>
  <si>
    <t>Desarrollo Económico Sostenible</t>
  </si>
  <si>
    <t>Presidente Municipal</t>
  </si>
  <si>
    <t>Regidores y Sindico</t>
  </si>
  <si>
    <t>Secretaria General</t>
  </si>
  <si>
    <t>Tesoreria y area contable</t>
  </si>
  <si>
    <t>Contraloria</t>
  </si>
  <si>
    <t>Residentes de Obra Públicas</t>
  </si>
  <si>
    <t>Juzgados</t>
  </si>
  <si>
    <t>Director varias areas</t>
  </si>
  <si>
    <t>Secretarias (varias areas)</t>
  </si>
  <si>
    <t>Intendencia y Servicios Generales</t>
  </si>
  <si>
    <t>Seguridad publica (policias)</t>
  </si>
  <si>
    <t>Preguntas al Presupuesto</t>
  </si>
  <si>
    <t>PRESUPUESTO DE INGRESOS Y EGRESOS</t>
  </si>
  <si>
    <t>SAN GREGORIO ATZOMPA, PUEBLA</t>
  </si>
  <si>
    <t>Calendario de Presupuesto de Egresos del Ejercicio Fiscal 2017</t>
  </si>
  <si>
    <t>Del 01 de Enero al 31 de Diciembre de 2017</t>
  </si>
  <si>
    <t>REGIDURÍAS</t>
  </si>
  <si>
    <t>Del 1 de enero  al 31 de diciembre de 2017</t>
  </si>
  <si>
    <t>Es la normatividad que tiene por objeto regular la politica fiscal recaudatoria del municipio y los topes de cobro. Su importancia radica en que es la disposición legal de observancia general que permite el cumplimiento del ciclo presupuestal.</t>
  </si>
  <si>
    <t>De diversas fuentes de fianciamiento entre las que destacan Recursos Fiscales, Recursos Federales, Recursos Estatales y otros recursos.</t>
  </si>
  <si>
    <t>Es la previsión del gasto de un ejercicio y su importancia radica en la priorización del gasto y su impacto social.</t>
  </si>
  <si>
    <t>Gasto de inversión, Gasto corriente, y objeto del gasto.</t>
  </si>
  <si>
    <t>Desarrollo económico, social y gobierno. Atendiendo a lo señalado en el articulo 115 de la Constitución Politica de los Estados Unidos Mexicanos.</t>
  </si>
  <si>
    <t>Participar de manera activa como por ejemplo COPLADEMUN y estar al pendiente del ejercicio presupuestal mediante los medios de difusion correspondientes.</t>
  </si>
  <si>
    <t>Presupuesto de Egresos para el Ejercicio Fiscal 2017</t>
  </si>
  <si>
    <t>SDIF MUNICIPAL</t>
  </si>
  <si>
    <t>JUNTA AUXILIAR</t>
  </si>
  <si>
    <t>SDIF Municipal</t>
  </si>
  <si>
    <t>Junta Auxiliar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</si>
</sst>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25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9"/>
      <color theme="1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color theme="1"/>
      <name val="Arial"/>
      <family val="2"/>
    </font>
    <font>
      <b/>
      <sz val="22"/>
      <color theme="1"/>
      <name val="Arial"/>
      <family val="2"/>
    </font>
    <font>
      <b/>
      <sz val="22"/>
      <color rgb="FF000000"/>
      <name val="Arial"/>
      <family val="2"/>
    </font>
    <font>
      <sz val="22"/>
      <color rgb="FF000000"/>
      <name val="Arial"/>
      <family val="2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4"/>
      <color theme="1"/>
      <name val="Arial"/>
      <family val="2"/>
    </font>
    <font>
      <i/>
      <sz val="12"/>
      <color rgb="FF0000FF"/>
      <name val="Arial"/>
      <family val="2"/>
    </font>
    <font>
      <sz val="11"/>
      <color theme="1"/>
      <name val="Calibri"/>
      <family val="2"/>
      <scheme val="minor"/>
    </font>
    <font>
      <sz val="12"/>
      <color rgb="FF000000"/>
      <name val="Arial"/>
      <family val="2"/>
    </font>
    <font>
      <b/>
      <sz val="48"/>
      <color theme="1"/>
      <name val="Arial"/>
      <family val="2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21" fillId="0" borderId="0" applyFont="0" applyFill="0" applyBorder="0" applyAlignment="0" applyProtection="0"/>
  </cellStyleXfs>
  <cellXfs count="266">
    <xf numFmtId="0" fontId="0" fillId="0" borderId="0" xfId="0"/>
    <xf numFmtId="0" fontId="1" fillId="0" borderId="9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justify" vertical="center" wrapText="1"/>
    </xf>
    <xf numFmtId="0" fontId="0" fillId="0" borderId="0" xfId="0" applyFont="1"/>
    <xf numFmtId="0" fontId="2" fillId="0" borderId="9" xfId="0" applyFont="1" applyBorder="1" applyAlignment="1">
      <alignment horizontal="justify" vertical="center" wrapText="1"/>
    </xf>
    <xf numFmtId="0" fontId="11" fillId="0" borderId="0" xfId="0" applyFont="1"/>
    <xf numFmtId="0" fontId="5" fillId="3" borderId="8" xfId="0" applyFont="1" applyFill="1" applyBorder="1" applyAlignment="1">
      <alignment horizontal="center" vertical="center" wrapText="1"/>
    </xf>
    <xf numFmtId="0" fontId="12" fillId="0" borderId="0" xfId="0" applyFont="1"/>
    <xf numFmtId="0" fontId="7" fillId="3" borderId="8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justify" vertical="center" wrapText="1"/>
    </xf>
    <xf numFmtId="0" fontId="7" fillId="4" borderId="8" xfId="0" applyFont="1" applyFill="1" applyBorder="1" applyAlignment="1">
      <alignment horizontal="justify" vertical="center" wrapText="1"/>
    </xf>
    <xf numFmtId="0" fontId="13" fillId="0" borderId="0" xfId="0" applyFont="1"/>
    <xf numFmtId="0" fontId="14" fillId="0" borderId="13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justify" vertical="center"/>
    </xf>
    <xf numFmtId="0" fontId="13" fillId="0" borderId="9" xfId="0" applyFont="1" applyBorder="1" applyAlignment="1">
      <alignment horizontal="justify" vertical="center"/>
    </xf>
    <xf numFmtId="0" fontId="17" fillId="0" borderId="0" xfId="0" applyFont="1"/>
    <xf numFmtId="0" fontId="4" fillId="0" borderId="15" xfId="0" applyFont="1" applyBorder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0" fontId="4" fillId="0" borderId="18" xfId="0" applyFont="1" applyBorder="1" applyAlignment="1">
      <alignment horizontal="justify" vertical="center" wrapText="1"/>
    </xf>
    <xf numFmtId="0" fontId="4" fillId="0" borderId="19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5" fillId="0" borderId="21" xfId="0" applyFont="1" applyBorder="1" applyAlignment="1">
      <alignment horizontal="justify" vertical="center" wrapText="1"/>
    </xf>
    <xf numFmtId="0" fontId="5" fillId="0" borderId="23" xfId="0" applyFont="1" applyBorder="1" applyAlignment="1">
      <alignment horizontal="justify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justify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justify" vertical="center"/>
    </xf>
    <xf numFmtId="0" fontId="2" fillId="4" borderId="9" xfId="0" applyFont="1" applyFill="1" applyBorder="1" applyAlignment="1">
      <alignment horizontal="justify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5" fillId="4" borderId="28" xfId="0" applyFont="1" applyFill="1" applyBorder="1" applyAlignment="1">
      <alignment horizontal="justify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23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justify" vertical="center" wrapText="1"/>
    </xf>
    <xf numFmtId="0" fontId="9" fillId="4" borderId="12" xfId="0" applyFont="1" applyFill="1" applyBorder="1" applyAlignment="1">
      <alignment horizontal="justify" vertical="center" wrapText="1"/>
    </xf>
    <xf numFmtId="0" fontId="10" fillId="4" borderId="26" xfId="0" applyFont="1" applyFill="1" applyBorder="1" applyAlignment="1">
      <alignment horizontal="justify" vertical="center" wrapText="1"/>
    </xf>
    <xf numFmtId="0" fontId="10" fillId="4" borderId="23" xfId="0" applyFont="1" applyFill="1" applyBorder="1" applyAlignment="1">
      <alignment horizontal="justify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justify" vertical="center"/>
    </xf>
    <xf numFmtId="0" fontId="4" fillId="4" borderId="9" xfId="0" applyFont="1" applyFill="1" applyBorder="1" applyAlignment="1">
      <alignment horizontal="justify" vertical="center"/>
    </xf>
    <xf numFmtId="0" fontId="4" fillId="4" borderId="1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justify" vertical="center"/>
    </xf>
    <xf numFmtId="0" fontId="6" fillId="4" borderId="12" xfId="0" applyFont="1" applyFill="1" applyBorder="1" applyAlignment="1">
      <alignment horizontal="justify" vertical="center"/>
    </xf>
    <xf numFmtId="0" fontId="18" fillId="0" borderId="0" xfId="0" applyFont="1"/>
    <xf numFmtId="0" fontId="10" fillId="4" borderId="12" xfId="0" applyFont="1" applyFill="1" applyBorder="1" applyAlignment="1">
      <alignment horizontal="justify" vertical="center" wrapText="1"/>
    </xf>
    <xf numFmtId="0" fontId="7" fillId="4" borderId="21" xfId="0" applyFont="1" applyFill="1" applyBorder="1" applyAlignment="1">
      <alignment horizontal="justify" vertical="center"/>
    </xf>
    <xf numFmtId="0" fontId="7" fillId="4" borderId="23" xfId="0" applyFont="1" applyFill="1" applyBorder="1" applyAlignment="1">
      <alignment horizontal="justify" vertical="center"/>
    </xf>
    <xf numFmtId="0" fontId="5" fillId="2" borderId="26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left" vertical="center" wrapText="1"/>
    </xf>
    <xf numFmtId="0" fontId="6" fillId="0" borderId="9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0" fontId="19" fillId="0" borderId="26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right" vertical="center" wrapText="1"/>
    </xf>
    <xf numFmtId="43" fontId="16" fillId="0" borderId="11" xfId="1" applyFont="1" applyBorder="1" applyAlignment="1">
      <alignment vertical="center" wrapText="1"/>
    </xf>
    <xf numFmtId="43" fontId="16" fillId="0" borderId="9" xfId="1" applyFont="1" applyBorder="1" applyAlignment="1">
      <alignment vertical="center" wrapText="1"/>
    </xf>
    <xf numFmtId="43" fontId="5" fillId="0" borderId="23" xfId="0" applyNumberFormat="1" applyFont="1" applyBorder="1" applyAlignment="1">
      <alignment horizontal="justify" vertical="center" wrapText="1"/>
    </xf>
    <xf numFmtId="0" fontId="14" fillId="0" borderId="10" xfId="0" applyFont="1" applyBorder="1" applyAlignment="1">
      <alignment horizontal="justify" vertical="center"/>
    </xf>
    <xf numFmtId="43" fontId="15" fillId="0" borderId="10" xfId="1" applyFont="1" applyBorder="1" applyAlignment="1">
      <alignment vertical="center" wrapText="1"/>
    </xf>
    <xf numFmtId="0" fontId="14" fillId="0" borderId="0" xfId="0" applyFont="1"/>
    <xf numFmtId="0" fontId="14" fillId="0" borderId="11" xfId="0" applyFont="1" applyBorder="1" applyAlignment="1">
      <alignment horizontal="justify" vertical="center"/>
    </xf>
    <xf numFmtId="43" fontId="15" fillId="0" borderId="11" xfId="1" applyFont="1" applyBorder="1" applyAlignment="1">
      <alignment vertical="center" wrapText="1"/>
    </xf>
    <xf numFmtId="43" fontId="15" fillId="0" borderId="11" xfId="1" applyFont="1" applyFill="1" applyBorder="1" applyAlignment="1">
      <alignment vertical="center" wrapText="1"/>
    </xf>
    <xf numFmtId="0" fontId="14" fillId="0" borderId="26" xfId="0" applyFont="1" applyBorder="1"/>
    <xf numFmtId="43" fontId="14" fillId="0" borderId="26" xfId="0" applyNumberFormat="1" applyFont="1" applyBorder="1"/>
    <xf numFmtId="43" fontId="4" fillId="0" borderId="12" xfId="1" applyFont="1" applyBorder="1" applyAlignment="1">
      <alignment horizontal="justify" vertical="center" wrapText="1"/>
    </xf>
    <xf numFmtId="43" fontId="4" fillId="0" borderId="8" xfId="1" applyFont="1" applyBorder="1" applyAlignment="1">
      <alignment horizontal="justify" vertical="center" wrapText="1"/>
    </xf>
    <xf numFmtId="43" fontId="22" fillId="0" borderId="10" xfId="1" applyFont="1" applyBorder="1" applyAlignment="1">
      <alignment vertical="center" wrapText="1"/>
    </xf>
    <xf numFmtId="43" fontId="22" fillId="0" borderId="11" xfId="1" applyFont="1" applyBorder="1" applyAlignment="1">
      <alignment vertical="center" wrapText="1"/>
    </xf>
    <xf numFmtId="43" fontId="22" fillId="0" borderId="9" xfId="1" applyFont="1" applyBorder="1" applyAlignment="1">
      <alignment vertical="center" wrapText="1"/>
    </xf>
    <xf numFmtId="4" fontId="6" fillId="4" borderId="12" xfId="0" applyNumberFormat="1" applyFont="1" applyFill="1" applyBorder="1" applyAlignment="1">
      <alignment horizontal="justify" vertical="center" wrapText="1"/>
    </xf>
    <xf numFmtId="4" fontId="7" fillId="4" borderId="8" xfId="0" applyNumberFormat="1" applyFont="1" applyFill="1" applyBorder="1" applyAlignment="1">
      <alignment horizontal="justify" vertical="center" wrapText="1"/>
    </xf>
    <xf numFmtId="4" fontId="4" fillId="4" borderId="12" xfId="0" applyNumberFormat="1" applyFont="1" applyFill="1" applyBorder="1" applyAlignment="1">
      <alignment horizontal="justify" vertical="center" wrapText="1"/>
    </xf>
    <xf numFmtId="43" fontId="5" fillId="4" borderId="29" xfId="1" applyFont="1" applyFill="1" applyBorder="1" applyAlignment="1">
      <alignment horizontal="justify" vertical="center" wrapText="1"/>
    </xf>
    <xf numFmtId="43" fontId="6" fillId="4" borderId="12" xfId="1" applyFont="1" applyFill="1" applyBorder="1" applyAlignment="1">
      <alignment horizontal="justify" vertical="center" wrapText="1"/>
    </xf>
    <xf numFmtId="43" fontId="7" fillId="4" borderId="12" xfId="1" applyFont="1" applyFill="1" applyBorder="1" applyAlignment="1">
      <alignment horizontal="justify" vertical="center" wrapText="1"/>
    </xf>
    <xf numFmtId="43" fontId="6" fillId="4" borderId="12" xfId="1" applyFont="1" applyFill="1" applyBorder="1" applyAlignment="1">
      <alignment horizontal="justify" vertical="center"/>
    </xf>
    <xf numFmtId="43" fontId="7" fillId="4" borderId="12" xfId="1" applyFont="1" applyFill="1" applyBorder="1" applyAlignment="1">
      <alignment horizontal="justify" vertical="center"/>
    </xf>
    <xf numFmtId="43" fontId="7" fillId="4" borderId="23" xfId="1" applyFont="1" applyFill="1" applyBorder="1" applyAlignment="1">
      <alignment horizontal="justify" vertical="center"/>
    </xf>
    <xf numFmtId="0" fontId="24" fillId="0" borderId="0" xfId="0" applyFont="1"/>
    <xf numFmtId="43" fontId="2" fillId="4" borderId="23" xfId="1" applyFont="1" applyFill="1" applyBorder="1" applyAlignment="1">
      <alignment horizontal="justify" vertical="center"/>
    </xf>
    <xf numFmtId="43" fontId="2" fillId="4" borderId="8" xfId="1" applyFont="1" applyFill="1" applyBorder="1" applyAlignment="1">
      <alignment horizontal="justify" vertical="center"/>
    </xf>
    <xf numFmtId="43" fontId="2" fillId="4" borderId="8" xfId="1" applyFont="1" applyFill="1" applyBorder="1" applyAlignment="1">
      <alignment horizontal="center" vertical="center"/>
    </xf>
    <xf numFmtId="43" fontId="2" fillId="4" borderId="20" xfId="1" applyFont="1" applyFill="1" applyBorder="1" applyAlignment="1">
      <alignment horizontal="center" vertical="center"/>
    </xf>
    <xf numFmtId="43" fontId="4" fillId="4" borderId="23" xfId="1" applyFont="1" applyFill="1" applyBorder="1" applyAlignment="1">
      <alignment horizontal="justify" vertical="center"/>
    </xf>
    <xf numFmtId="43" fontId="4" fillId="4" borderId="8" xfId="1" applyFont="1" applyFill="1" applyBorder="1" applyAlignment="1">
      <alignment horizontal="justify" vertical="center"/>
    </xf>
    <xf numFmtId="43" fontId="4" fillId="4" borderId="20" xfId="1" applyFont="1" applyFill="1" applyBorder="1" applyAlignment="1">
      <alignment horizontal="justify" vertical="center"/>
    </xf>
    <xf numFmtId="43" fontId="1" fillId="0" borderId="8" xfId="0" applyNumberFormat="1" applyFont="1" applyBorder="1" applyAlignment="1">
      <alignment horizontal="justify" vertical="center" wrapText="1"/>
    </xf>
    <xf numFmtId="43" fontId="4" fillId="0" borderId="8" xfId="0" applyNumberFormat="1" applyFont="1" applyBorder="1" applyAlignment="1">
      <alignment horizontal="center" vertical="center" wrapText="1"/>
    </xf>
    <xf numFmtId="43" fontId="2" fillId="0" borderId="8" xfId="1" applyFont="1" applyBorder="1" applyAlignment="1">
      <alignment horizontal="justify" vertical="center" wrapText="1"/>
    </xf>
    <xf numFmtId="0" fontId="13" fillId="0" borderId="31" xfId="0" applyFont="1" applyBorder="1" applyAlignment="1">
      <alignment horizontal="justify" vertical="center"/>
    </xf>
    <xf numFmtId="43" fontId="16" fillId="0" borderId="31" xfId="1" applyFont="1" applyBorder="1" applyAlignment="1">
      <alignment vertical="center" wrapText="1"/>
    </xf>
    <xf numFmtId="43" fontId="15" fillId="0" borderId="31" xfId="1" applyFont="1" applyBorder="1" applyAlignment="1">
      <alignment vertical="center" wrapText="1"/>
    </xf>
    <xf numFmtId="43" fontId="15" fillId="0" borderId="9" xfId="1" applyFont="1" applyBorder="1" applyAlignment="1">
      <alignment vertical="center" wrapText="1"/>
    </xf>
    <xf numFmtId="43" fontId="8" fillId="0" borderId="8" xfId="0" applyNumberFormat="1" applyFont="1" applyBorder="1" applyAlignment="1">
      <alignment horizontal="center" vertical="center" wrapText="1"/>
    </xf>
    <xf numFmtId="43" fontId="5" fillId="0" borderId="8" xfId="0" applyNumberFormat="1" applyFont="1" applyBorder="1" applyAlignment="1">
      <alignment horizontal="center" vertical="center" wrapText="1"/>
    </xf>
    <xf numFmtId="4" fontId="4" fillId="4" borderId="12" xfId="0" applyNumberFormat="1" applyFont="1" applyFill="1" applyBorder="1" applyAlignment="1">
      <alignment horizontal="right" vertical="center" wrapText="1"/>
    </xf>
    <xf numFmtId="43" fontId="1" fillId="0" borderId="8" xfId="1" applyFont="1" applyBorder="1" applyAlignment="1">
      <alignment horizontal="right" vertical="center" wrapText="1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5" fillId="0" borderId="15" xfId="0" applyFont="1" applyBorder="1" applyAlignment="1">
      <alignment horizontal="justify" vertical="center" wrapText="1"/>
    </xf>
    <xf numFmtId="0" fontId="5" fillId="0" borderId="12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justify" vertical="center" wrapText="1"/>
    </xf>
    <xf numFmtId="0" fontId="14" fillId="4" borderId="15" xfId="0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center" vertical="center" wrapText="1"/>
    </xf>
    <xf numFmtId="0" fontId="14" fillId="4" borderId="12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21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  <xf numFmtId="0" fontId="10" fillId="3" borderId="23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9" fillId="0" borderId="22" xfId="0" applyFont="1" applyBorder="1" applyAlignment="1">
      <alignment horizontal="justify" vertical="center" wrapText="1"/>
    </xf>
    <xf numFmtId="0" fontId="23" fillId="4" borderId="15" xfId="0" applyFont="1" applyFill="1" applyBorder="1" applyAlignment="1">
      <alignment horizontal="center" vertical="center" wrapText="1"/>
    </xf>
    <xf numFmtId="0" fontId="23" fillId="4" borderId="0" xfId="0" applyFont="1" applyFill="1" applyBorder="1" applyAlignment="1">
      <alignment horizontal="center" vertical="center" wrapText="1"/>
    </xf>
    <xf numFmtId="0" fontId="23" fillId="4" borderId="12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justify" vertical="center" wrapText="1"/>
    </xf>
    <xf numFmtId="0" fontId="7" fillId="4" borderId="16" xfId="0" applyFont="1" applyFill="1" applyBorder="1" applyAlignment="1">
      <alignment horizontal="justify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43" fontId="4" fillId="0" borderId="10" xfId="1" applyFont="1" applyBorder="1" applyAlignment="1">
      <alignment horizontal="justify" vertical="center" wrapText="1"/>
    </xf>
    <xf numFmtId="43" fontId="4" fillId="0" borderId="9" xfId="1" applyFont="1" applyBorder="1" applyAlignment="1">
      <alignment horizontal="justify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justify" vertical="center" wrapText="1"/>
    </xf>
    <xf numFmtId="0" fontId="0" fillId="0" borderId="22" xfId="0" applyBorder="1" applyAlignment="1">
      <alignment horizontal="justify" vertical="center" wrapText="1"/>
    </xf>
    <xf numFmtId="0" fontId="0" fillId="0" borderId="23" xfId="0" applyBorder="1" applyAlignment="1">
      <alignment horizontal="justify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595312</xdr:colOff>
      <xdr:row>0</xdr:row>
      <xdr:rowOff>250031</xdr:rowOff>
    </xdr:from>
    <xdr:to>
      <xdr:col>1</xdr:col>
      <xdr:colOff>1614947</xdr:colOff>
      <xdr:row>1</xdr:row>
      <xdr:rowOff>548640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72250" y="250031"/>
          <a:ext cx="1019635" cy="846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79376</xdr:colOff>
      <xdr:row>0</xdr:row>
      <xdr:rowOff>95250</xdr:rowOff>
    </xdr:from>
    <xdr:to>
      <xdr:col>0</xdr:col>
      <xdr:colOff>841376</xdr:colOff>
      <xdr:row>2</xdr:row>
      <xdr:rowOff>187960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376" y="95250"/>
          <a:ext cx="7620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0</xdr:rowOff>
    </xdr:from>
    <xdr:to>
      <xdr:col>0</xdr:col>
      <xdr:colOff>990600</xdr:colOff>
      <xdr:row>2</xdr:row>
      <xdr:rowOff>217646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0"/>
          <a:ext cx="904875" cy="7510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95250</xdr:rowOff>
    </xdr:from>
    <xdr:to>
      <xdr:col>0</xdr:col>
      <xdr:colOff>914400</xdr:colOff>
      <xdr:row>1</xdr:row>
      <xdr:rowOff>357473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95250"/>
          <a:ext cx="866775" cy="7194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112568</xdr:colOff>
      <xdr:row>0</xdr:row>
      <xdr:rowOff>69272</xdr:rowOff>
    </xdr:from>
    <xdr:to>
      <xdr:col>0</xdr:col>
      <xdr:colOff>883227</xdr:colOff>
      <xdr:row>2</xdr:row>
      <xdr:rowOff>76805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568" y="69272"/>
          <a:ext cx="770659" cy="639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60613</xdr:colOff>
      <xdr:row>18</xdr:row>
      <xdr:rowOff>0</xdr:rowOff>
    </xdr:from>
    <xdr:to>
      <xdr:col>0</xdr:col>
      <xdr:colOff>770658</xdr:colOff>
      <xdr:row>20</xdr:row>
      <xdr:rowOff>165041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613" y="4805795"/>
          <a:ext cx="710045" cy="589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333376</xdr:colOff>
      <xdr:row>15</xdr:row>
      <xdr:rowOff>57151</xdr:rowOff>
    </xdr:from>
    <xdr:to>
      <xdr:col>0</xdr:col>
      <xdr:colOff>981075</xdr:colOff>
      <xdr:row>18</xdr:row>
      <xdr:rowOff>4191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6" y="4629151"/>
          <a:ext cx="647699" cy="5375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228600</xdr:colOff>
      <xdr:row>0</xdr:row>
      <xdr:rowOff>47625</xdr:rowOff>
    </xdr:from>
    <xdr:to>
      <xdr:col>0</xdr:col>
      <xdr:colOff>876299</xdr:colOff>
      <xdr:row>2</xdr:row>
      <xdr:rowOff>13715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600" y="47625"/>
          <a:ext cx="647699" cy="5375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323850</xdr:colOff>
      <xdr:row>7</xdr:row>
      <xdr:rowOff>28575</xdr:rowOff>
    </xdr:from>
    <xdr:to>
      <xdr:col>0</xdr:col>
      <xdr:colOff>971549</xdr:colOff>
      <xdr:row>9</xdr:row>
      <xdr:rowOff>175640</xdr:rowOff>
    </xdr:to>
    <xdr:pic>
      <xdr:nvPicPr>
        <xdr:cNvPr id="4" name="2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3850" y="2247900"/>
          <a:ext cx="647699" cy="5375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666750</xdr:colOff>
      <xdr:row>0</xdr:row>
      <xdr:rowOff>158750</xdr:rowOff>
    </xdr:from>
    <xdr:to>
      <xdr:col>1</xdr:col>
      <xdr:colOff>1571625</xdr:colOff>
      <xdr:row>3</xdr:row>
      <xdr:rowOff>147796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73125" y="158750"/>
          <a:ext cx="904875" cy="7510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962025</xdr:colOff>
      <xdr:row>0</xdr:row>
      <xdr:rowOff>295275</xdr:rowOff>
    </xdr:from>
    <xdr:to>
      <xdr:col>0</xdr:col>
      <xdr:colOff>1866900</xdr:colOff>
      <xdr:row>2</xdr:row>
      <xdr:rowOff>284321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62025" y="295275"/>
          <a:ext cx="904875" cy="7510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2032000</xdr:colOff>
      <xdr:row>0</xdr:row>
      <xdr:rowOff>285749</xdr:rowOff>
    </xdr:from>
    <xdr:to>
      <xdr:col>1</xdr:col>
      <xdr:colOff>15875</xdr:colOff>
      <xdr:row>3</xdr:row>
      <xdr:rowOff>78262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32000" y="285749"/>
          <a:ext cx="1127125" cy="935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1063625</xdr:colOff>
      <xdr:row>0</xdr:row>
      <xdr:rowOff>174625</xdr:rowOff>
    </xdr:from>
    <xdr:to>
      <xdr:col>0</xdr:col>
      <xdr:colOff>1968500</xdr:colOff>
      <xdr:row>2</xdr:row>
      <xdr:rowOff>211296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63625" y="174625"/>
          <a:ext cx="904875" cy="7510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587375</xdr:colOff>
      <xdr:row>0</xdr:row>
      <xdr:rowOff>190500</xdr:rowOff>
    </xdr:from>
    <xdr:to>
      <xdr:col>0</xdr:col>
      <xdr:colOff>1492250</xdr:colOff>
      <xdr:row>3</xdr:row>
      <xdr:rowOff>131921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7375" y="190500"/>
          <a:ext cx="904875" cy="7510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1174750</xdr:colOff>
      <xdr:row>1</xdr:row>
      <xdr:rowOff>142875</xdr:rowOff>
    </xdr:from>
    <xdr:to>
      <xdr:col>1</xdr:col>
      <xdr:colOff>2079625</xdr:colOff>
      <xdr:row>4</xdr:row>
      <xdr:rowOff>179546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81125" y="396875"/>
          <a:ext cx="904875" cy="7510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28575</xdr:rowOff>
    </xdr:from>
    <xdr:to>
      <xdr:col>0</xdr:col>
      <xdr:colOff>829479</xdr:colOff>
      <xdr:row>2</xdr:row>
      <xdr:rowOff>190500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28575"/>
          <a:ext cx="677079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428626</xdr:colOff>
      <xdr:row>0</xdr:row>
      <xdr:rowOff>19051</xdr:rowOff>
    </xdr:from>
    <xdr:to>
      <xdr:col>0</xdr:col>
      <xdr:colOff>1095375</xdr:colOff>
      <xdr:row>2</xdr:row>
      <xdr:rowOff>191453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8626" y="19051"/>
          <a:ext cx="666749" cy="553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7"/>
  <sheetViews>
    <sheetView view="pageBreakPreview" zoomScale="80" zoomScaleNormal="100" zoomScaleSheetLayoutView="80" workbookViewId="0">
      <pane xSplit="2" ySplit="4" topLeftCell="M5" activePane="bottomRight" state="frozen"/>
      <selection pane="topRight" activeCell="C1" sqref="C1"/>
      <selection pane="bottomLeft" activeCell="A5" sqref="A5"/>
      <selection pane="bottomRight" sqref="A1:N1"/>
    </sheetView>
  </sheetViews>
  <sheetFormatPr baseColWidth="10" defaultRowHeight="27"/>
  <cols>
    <col min="1" max="1" width="89.7109375" style="11" customWidth="1"/>
    <col min="2" max="2" width="37.5703125" style="11" customWidth="1"/>
    <col min="3" max="14" width="35.7109375" style="11" customWidth="1"/>
    <col min="15" max="16384" width="11.42578125" style="11"/>
  </cols>
  <sheetData>
    <row r="1" spans="1:14" ht="42.75" customHeight="1">
      <c r="A1" s="118" t="s">
        <v>205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20"/>
    </row>
    <row r="2" spans="1:14" ht="63" customHeight="1" thickBot="1">
      <c r="A2" s="121" t="s">
        <v>230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3"/>
    </row>
    <row r="3" spans="1:14" ht="40.5" customHeight="1" thickBot="1">
      <c r="A3" s="12" t="s">
        <v>13</v>
      </c>
      <c r="B3" s="13" t="s">
        <v>0</v>
      </c>
      <c r="C3" s="13" t="s">
        <v>1</v>
      </c>
      <c r="D3" s="14" t="s">
        <v>2</v>
      </c>
      <c r="E3" s="14" t="s">
        <v>3</v>
      </c>
      <c r="F3" s="14" t="s">
        <v>4</v>
      </c>
      <c r="G3" s="14" t="s">
        <v>5</v>
      </c>
      <c r="H3" s="14" t="s">
        <v>6</v>
      </c>
      <c r="I3" s="14" t="s">
        <v>7</v>
      </c>
      <c r="J3" s="14" t="s">
        <v>8</v>
      </c>
      <c r="K3" s="14" t="s">
        <v>9</v>
      </c>
      <c r="L3" s="14" t="s">
        <v>10</v>
      </c>
      <c r="M3" s="14" t="s">
        <v>11</v>
      </c>
      <c r="N3" s="15" t="s">
        <v>12</v>
      </c>
    </row>
    <row r="4" spans="1:14" s="79" customFormat="1" ht="84.75" customHeight="1">
      <c r="A4" s="77" t="s">
        <v>14</v>
      </c>
      <c r="B4" s="78">
        <f>SUM(B5:B11)</f>
        <v>4816450</v>
      </c>
      <c r="C4" s="78">
        <f t="shared" ref="C4:N4" si="0">SUM(C5:C11)</f>
        <v>382611.5</v>
      </c>
      <c r="D4" s="78">
        <f t="shared" si="0"/>
        <v>382611.5</v>
      </c>
      <c r="E4" s="78">
        <f t="shared" si="0"/>
        <v>382611.5</v>
      </c>
      <c r="F4" s="78">
        <f t="shared" si="0"/>
        <v>382611.5</v>
      </c>
      <c r="G4" s="78">
        <f t="shared" si="0"/>
        <v>382611.5</v>
      </c>
      <c r="H4" s="78">
        <f t="shared" si="0"/>
        <v>382611.5</v>
      </c>
      <c r="I4" s="78">
        <f t="shared" si="0"/>
        <v>382611.5</v>
      </c>
      <c r="J4" s="78">
        <f t="shared" si="0"/>
        <v>382611.5</v>
      </c>
      <c r="K4" s="78">
        <f t="shared" si="0"/>
        <v>382611.5</v>
      </c>
      <c r="L4" s="78">
        <f t="shared" si="0"/>
        <v>382611.5</v>
      </c>
      <c r="M4" s="78">
        <f t="shared" si="0"/>
        <v>382611.5</v>
      </c>
      <c r="N4" s="78">
        <f t="shared" si="0"/>
        <v>607723.5</v>
      </c>
    </row>
    <row r="5" spans="1:14" ht="84.75" customHeight="1">
      <c r="A5" s="16" t="s">
        <v>15</v>
      </c>
      <c r="B5" s="81">
        <f>SUM(C5:N5)</f>
        <v>4534130</v>
      </c>
      <c r="C5" s="74">
        <f t="shared" ref="C5:M5" si="1">277737.5+24267+33200+42640</f>
        <v>377844.5</v>
      </c>
      <c r="D5" s="74">
        <f t="shared" si="1"/>
        <v>377844.5</v>
      </c>
      <c r="E5" s="74">
        <f t="shared" si="1"/>
        <v>377844.5</v>
      </c>
      <c r="F5" s="74">
        <f t="shared" si="1"/>
        <v>377844.5</v>
      </c>
      <c r="G5" s="74">
        <f t="shared" si="1"/>
        <v>377844.5</v>
      </c>
      <c r="H5" s="74">
        <f t="shared" si="1"/>
        <v>377844.5</v>
      </c>
      <c r="I5" s="74">
        <f t="shared" si="1"/>
        <v>377844.5</v>
      </c>
      <c r="J5" s="74">
        <f t="shared" si="1"/>
        <v>377844.5</v>
      </c>
      <c r="K5" s="74">
        <f t="shared" si="1"/>
        <v>377844.5</v>
      </c>
      <c r="L5" s="74">
        <f t="shared" si="1"/>
        <v>377844.5</v>
      </c>
      <c r="M5" s="74">
        <f t="shared" si="1"/>
        <v>377844.5</v>
      </c>
      <c r="N5" s="74">
        <f>277737.5+24263+33200+42640</f>
        <v>377840.5</v>
      </c>
    </row>
    <row r="6" spans="1:14" ht="84.75" customHeight="1">
      <c r="A6" s="16" t="s">
        <v>16</v>
      </c>
      <c r="B6" s="81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</row>
    <row r="7" spans="1:14" ht="84.75" customHeight="1">
      <c r="A7" s="16" t="s">
        <v>17</v>
      </c>
      <c r="B7" s="81">
        <f>SUM(C7:N7)</f>
        <v>256320</v>
      </c>
      <c r="C7" s="74">
        <f>433+0+2167</f>
        <v>2600</v>
      </c>
      <c r="D7" s="74">
        <f t="shared" ref="D7:M7" si="2">433+0+2167</f>
        <v>2600</v>
      </c>
      <c r="E7" s="74">
        <f t="shared" si="2"/>
        <v>2600</v>
      </c>
      <c r="F7" s="74">
        <f t="shared" si="2"/>
        <v>2600</v>
      </c>
      <c r="G7" s="74">
        <f t="shared" si="2"/>
        <v>2600</v>
      </c>
      <c r="H7" s="74">
        <f t="shared" si="2"/>
        <v>2600</v>
      </c>
      <c r="I7" s="74">
        <f t="shared" si="2"/>
        <v>2600</v>
      </c>
      <c r="J7" s="74">
        <f t="shared" si="2"/>
        <v>2600</v>
      </c>
      <c r="K7" s="74">
        <f t="shared" si="2"/>
        <v>2600</v>
      </c>
      <c r="L7" s="74">
        <f t="shared" si="2"/>
        <v>2600</v>
      </c>
      <c r="M7" s="74">
        <f t="shared" si="2"/>
        <v>2600</v>
      </c>
      <c r="N7" s="74">
        <f>437+187200+2163+16600+21320</f>
        <v>227720</v>
      </c>
    </row>
    <row r="8" spans="1:14" ht="84.75" customHeight="1">
      <c r="A8" s="16" t="s">
        <v>18</v>
      </c>
      <c r="B8" s="81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</row>
    <row r="9" spans="1:14" ht="84.75" customHeight="1">
      <c r="A9" s="16" t="s">
        <v>19</v>
      </c>
      <c r="B9" s="81">
        <f>SUM(C9:N9)</f>
        <v>26000</v>
      </c>
      <c r="C9" s="74">
        <v>2167</v>
      </c>
      <c r="D9" s="74">
        <v>2167</v>
      </c>
      <c r="E9" s="74">
        <v>2167</v>
      </c>
      <c r="F9" s="74">
        <v>2167</v>
      </c>
      <c r="G9" s="74">
        <v>2167</v>
      </c>
      <c r="H9" s="74">
        <v>2167</v>
      </c>
      <c r="I9" s="74">
        <v>2167</v>
      </c>
      <c r="J9" s="74">
        <v>2167</v>
      </c>
      <c r="K9" s="74">
        <v>2167</v>
      </c>
      <c r="L9" s="74">
        <v>2167</v>
      </c>
      <c r="M9" s="74">
        <v>2167</v>
      </c>
      <c r="N9" s="74">
        <v>2163</v>
      </c>
    </row>
    <row r="10" spans="1:14" ht="84.75" customHeight="1">
      <c r="A10" s="16" t="s">
        <v>20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</row>
    <row r="11" spans="1:14" ht="84.75" customHeight="1">
      <c r="A11" s="16" t="s">
        <v>21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</row>
    <row r="12" spans="1:14" s="79" customFormat="1" ht="84.75" customHeight="1">
      <c r="A12" s="80" t="s">
        <v>22</v>
      </c>
      <c r="B12" s="81">
        <f>SUM(C12:N12)</f>
        <v>1381507.28</v>
      </c>
      <c r="C12" s="81">
        <f>SUM(C13:C19)</f>
        <v>114906.5</v>
      </c>
      <c r="D12" s="81">
        <f t="shared" ref="D12:N12" si="3">SUM(D13:D19)</f>
        <v>114906.5</v>
      </c>
      <c r="E12" s="81">
        <f t="shared" si="3"/>
        <v>115592.5</v>
      </c>
      <c r="F12" s="81">
        <f t="shared" si="3"/>
        <v>114906.5</v>
      </c>
      <c r="G12" s="81">
        <f t="shared" si="3"/>
        <v>114906.5</v>
      </c>
      <c r="H12" s="81">
        <f t="shared" si="3"/>
        <v>115006.5</v>
      </c>
      <c r="I12" s="81">
        <f t="shared" si="3"/>
        <v>114906.5</v>
      </c>
      <c r="J12" s="81">
        <f t="shared" si="3"/>
        <v>114906.5</v>
      </c>
      <c r="K12" s="81">
        <f t="shared" si="3"/>
        <v>115006.5</v>
      </c>
      <c r="L12" s="81">
        <f t="shared" si="3"/>
        <v>114906.5</v>
      </c>
      <c r="M12" s="81">
        <f t="shared" si="3"/>
        <v>114906.5</v>
      </c>
      <c r="N12" s="81">
        <f t="shared" si="3"/>
        <v>116649.78</v>
      </c>
    </row>
    <row r="13" spans="1:14" ht="84.75" customHeight="1">
      <c r="A13" s="16" t="s">
        <v>23</v>
      </c>
      <c r="B13" s="81">
        <f>SUM(C13:N13)</f>
        <v>375833</v>
      </c>
      <c r="C13" s="74">
        <f t="shared" ref="C13:M13" si="4">1213+45+360+1907.5+798+3670+2497+1084+271+1006+13000+1800+1500+1000+300+800</f>
        <v>31251.5</v>
      </c>
      <c r="D13" s="74">
        <f t="shared" si="4"/>
        <v>31251.5</v>
      </c>
      <c r="E13" s="74">
        <f t="shared" si="4"/>
        <v>31251.5</v>
      </c>
      <c r="F13" s="74">
        <f t="shared" si="4"/>
        <v>31251.5</v>
      </c>
      <c r="G13" s="74">
        <f t="shared" si="4"/>
        <v>31251.5</v>
      </c>
      <c r="H13" s="74">
        <f t="shared" si="4"/>
        <v>31251.5</v>
      </c>
      <c r="I13" s="74">
        <f t="shared" si="4"/>
        <v>31251.5</v>
      </c>
      <c r="J13" s="74">
        <f t="shared" si="4"/>
        <v>31251.5</v>
      </c>
      <c r="K13" s="74">
        <f t="shared" si="4"/>
        <v>31251.5</v>
      </c>
      <c r="L13" s="74">
        <f t="shared" si="4"/>
        <v>31251.5</v>
      </c>
      <c r="M13" s="74">
        <f t="shared" si="4"/>
        <v>31251.5</v>
      </c>
      <c r="N13" s="74">
        <f>1217+44+363+1907.5+801+3665+2497+1083+276+1013+13000+1800+1500+1000+700+1200</f>
        <v>32066.5</v>
      </c>
    </row>
    <row r="14" spans="1:14" ht="84.75" customHeight="1">
      <c r="A14" s="16" t="s">
        <v>24</v>
      </c>
      <c r="B14" s="81">
        <f>SUM(C14:N14)</f>
        <v>79293</v>
      </c>
      <c r="C14" s="74">
        <f t="shared" ref="C14:M14" si="5">1371+4036+1000+200</f>
        <v>6607</v>
      </c>
      <c r="D14" s="74">
        <f t="shared" si="5"/>
        <v>6607</v>
      </c>
      <c r="E14" s="74">
        <f t="shared" si="5"/>
        <v>6607</v>
      </c>
      <c r="F14" s="74">
        <f t="shared" si="5"/>
        <v>6607</v>
      </c>
      <c r="G14" s="74">
        <f t="shared" si="5"/>
        <v>6607</v>
      </c>
      <c r="H14" s="74">
        <f t="shared" si="5"/>
        <v>6607</v>
      </c>
      <c r="I14" s="74">
        <f t="shared" si="5"/>
        <v>6607</v>
      </c>
      <c r="J14" s="74">
        <f t="shared" si="5"/>
        <v>6607</v>
      </c>
      <c r="K14" s="74">
        <f t="shared" si="5"/>
        <v>6607</v>
      </c>
      <c r="L14" s="74">
        <f t="shared" si="5"/>
        <v>6607</v>
      </c>
      <c r="M14" s="74">
        <f t="shared" si="5"/>
        <v>6607</v>
      </c>
      <c r="N14" s="74">
        <f>1375+4041+1000+200</f>
        <v>6616</v>
      </c>
    </row>
    <row r="15" spans="1:14" ht="84.75" customHeight="1">
      <c r="A15" s="16" t="s">
        <v>25</v>
      </c>
      <c r="B15" s="81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</row>
    <row r="16" spans="1:14" ht="84.75" customHeight="1">
      <c r="A16" s="16" t="s">
        <v>26</v>
      </c>
      <c r="B16" s="81">
        <f>SUM(C16:N16)</f>
        <v>187200</v>
      </c>
      <c r="C16" s="74">
        <v>15600</v>
      </c>
      <c r="D16" s="74">
        <v>15600</v>
      </c>
      <c r="E16" s="74">
        <v>15600</v>
      </c>
      <c r="F16" s="74">
        <v>15600</v>
      </c>
      <c r="G16" s="74">
        <v>15600</v>
      </c>
      <c r="H16" s="74">
        <v>15600</v>
      </c>
      <c r="I16" s="74">
        <v>15600</v>
      </c>
      <c r="J16" s="74">
        <v>15600</v>
      </c>
      <c r="K16" s="74">
        <v>15600</v>
      </c>
      <c r="L16" s="74">
        <v>15600</v>
      </c>
      <c r="M16" s="74">
        <v>15600</v>
      </c>
      <c r="N16" s="74">
        <v>15600</v>
      </c>
    </row>
    <row r="17" spans="1:14" ht="84.75" customHeight="1">
      <c r="A17" s="16" t="s">
        <v>27</v>
      </c>
      <c r="B17" s="81">
        <f t="shared" ref="B17:B19" si="6">SUM(C17:N17)</f>
        <v>14764</v>
      </c>
      <c r="C17" s="74">
        <f>1098+132</f>
        <v>1230</v>
      </c>
      <c r="D17" s="74">
        <f t="shared" ref="D17:M17" si="7">1098+132</f>
        <v>1230</v>
      </c>
      <c r="E17" s="74">
        <f t="shared" si="7"/>
        <v>1230</v>
      </c>
      <c r="F17" s="74">
        <f t="shared" si="7"/>
        <v>1230</v>
      </c>
      <c r="G17" s="74">
        <f t="shared" si="7"/>
        <v>1230</v>
      </c>
      <c r="H17" s="74">
        <f t="shared" si="7"/>
        <v>1230</v>
      </c>
      <c r="I17" s="74">
        <f t="shared" si="7"/>
        <v>1230</v>
      </c>
      <c r="J17" s="74">
        <f t="shared" si="7"/>
        <v>1230</v>
      </c>
      <c r="K17" s="74">
        <f t="shared" si="7"/>
        <v>1230</v>
      </c>
      <c r="L17" s="74">
        <f t="shared" si="7"/>
        <v>1230</v>
      </c>
      <c r="M17" s="74">
        <f t="shared" si="7"/>
        <v>1230</v>
      </c>
      <c r="N17" s="74">
        <f>1104+130</f>
        <v>1234</v>
      </c>
    </row>
    <row r="18" spans="1:14" ht="84.75" customHeight="1">
      <c r="A18" s="16" t="s">
        <v>28</v>
      </c>
      <c r="B18" s="81">
        <f t="shared" si="6"/>
        <v>721198</v>
      </c>
      <c r="C18" s="74">
        <f t="shared" ref="C18:M18" si="8">17351+179+36717+185+4000+1600</f>
        <v>60032</v>
      </c>
      <c r="D18" s="74">
        <f t="shared" si="8"/>
        <v>60032</v>
      </c>
      <c r="E18" s="74">
        <f t="shared" si="8"/>
        <v>60032</v>
      </c>
      <c r="F18" s="74">
        <f t="shared" si="8"/>
        <v>60032</v>
      </c>
      <c r="G18" s="74">
        <f t="shared" si="8"/>
        <v>60032</v>
      </c>
      <c r="H18" s="74">
        <f t="shared" si="8"/>
        <v>60032</v>
      </c>
      <c r="I18" s="74">
        <f t="shared" si="8"/>
        <v>60032</v>
      </c>
      <c r="J18" s="74">
        <f t="shared" si="8"/>
        <v>60032</v>
      </c>
      <c r="K18" s="74">
        <f t="shared" si="8"/>
        <v>60032</v>
      </c>
      <c r="L18" s="74">
        <f t="shared" si="8"/>
        <v>60032</v>
      </c>
      <c r="M18" s="74">
        <f t="shared" si="8"/>
        <v>60032</v>
      </c>
      <c r="N18" s="74">
        <f>17356+182+36721+187+4000+2400</f>
        <v>60846</v>
      </c>
    </row>
    <row r="19" spans="1:14" ht="84.75" customHeight="1">
      <c r="A19" s="16" t="s">
        <v>29</v>
      </c>
      <c r="B19" s="81">
        <f t="shared" si="6"/>
        <v>3219.2799999999997</v>
      </c>
      <c r="C19" s="74">
        <f>186+0</f>
        <v>186</v>
      </c>
      <c r="D19" s="74">
        <f>186</f>
        <v>186</v>
      </c>
      <c r="E19" s="74">
        <f>186+100+234+352</f>
        <v>872</v>
      </c>
      <c r="F19" s="74">
        <f t="shared" ref="F19:M19" si="9">186+0</f>
        <v>186</v>
      </c>
      <c r="G19" s="74">
        <f t="shared" si="9"/>
        <v>186</v>
      </c>
      <c r="H19" s="74">
        <f>186+100</f>
        <v>286</v>
      </c>
      <c r="I19" s="74">
        <f t="shared" si="9"/>
        <v>186</v>
      </c>
      <c r="J19" s="74">
        <f t="shared" si="9"/>
        <v>186</v>
      </c>
      <c r="K19" s="74">
        <f>186+100</f>
        <v>286</v>
      </c>
      <c r="L19" s="74">
        <f t="shared" si="9"/>
        <v>186</v>
      </c>
      <c r="M19" s="74">
        <f t="shared" si="9"/>
        <v>186</v>
      </c>
      <c r="N19" s="74">
        <f>186+101.28</f>
        <v>287.27999999999997</v>
      </c>
    </row>
    <row r="20" spans="1:14" ht="84.75" customHeight="1">
      <c r="A20" s="16" t="s">
        <v>30</v>
      </c>
      <c r="B20" s="81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</row>
    <row r="21" spans="1:14" ht="84.75" customHeight="1">
      <c r="A21" s="110" t="s">
        <v>31</v>
      </c>
      <c r="B21" s="112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</row>
    <row r="22" spans="1:14" s="79" customFormat="1" ht="84.75" customHeight="1">
      <c r="A22" s="80" t="s">
        <v>32</v>
      </c>
      <c r="B22" s="81">
        <f>SUM(C22:N22)</f>
        <v>4838668</v>
      </c>
      <c r="C22" s="81">
        <f>SUM(C23:C31)</f>
        <v>259371</v>
      </c>
      <c r="D22" s="81">
        <f t="shared" ref="D22:N22" si="10">SUM(D23:D31)</f>
        <v>413835</v>
      </c>
      <c r="E22" s="81">
        <f t="shared" si="10"/>
        <v>412331</v>
      </c>
      <c r="F22" s="81">
        <f t="shared" si="10"/>
        <v>422336</v>
      </c>
      <c r="G22" s="81">
        <f t="shared" si="10"/>
        <v>412331</v>
      </c>
      <c r="H22" s="81">
        <f t="shared" si="10"/>
        <v>413831</v>
      </c>
      <c r="I22" s="81">
        <f t="shared" si="10"/>
        <v>420481</v>
      </c>
      <c r="J22" s="81">
        <f t="shared" si="10"/>
        <v>413831</v>
      </c>
      <c r="K22" s="81">
        <f t="shared" si="10"/>
        <v>413131</v>
      </c>
      <c r="L22" s="81">
        <f t="shared" si="10"/>
        <v>421980</v>
      </c>
      <c r="M22" s="81">
        <f t="shared" si="10"/>
        <v>412330</v>
      </c>
      <c r="N22" s="81">
        <f t="shared" si="10"/>
        <v>422880</v>
      </c>
    </row>
    <row r="23" spans="1:14" ht="84.75" customHeight="1">
      <c r="A23" s="16" t="s">
        <v>33</v>
      </c>
      <c r="B23" s="81">
        <f>SUM(C23:N23)</f>
        <v>1738286</v>
      </c>
      <c r="C23" s="74">
        <f>50545+729+4767+2616.5+6933+800+800</f>
        <v>67190.5</v>
      </c>
      <c r="D23" s="74">
        <f>50545+729+4767+2616.5+6933+80910+800+1500+800</f>
        <v>149600.5</v>
      </c>
      <c r="E23" s="74">
        <f>50545+729+4767+2616.5+6933+80909+800+800</f>
        <v>148099.5</v>
      </c>
      <c r="F23" s="74">
        <f>50545+729+4767+2616.5+6933+8150+80909+800+1500+800</f>
        <v>157749.5</v>
      </c>
      <c r="G23" s="74">
        <f>50545+729+4767+2616.5+6933+80909+800+800</f>
        <v>148099.5</v>
      </c>
      <c r="H23" s="74">
        <f>50545+729+4767+2616.5+6933+80909+800+1500+800</f>
        <v>149599.5</v>
      </c>
      <c r="I23" s="74">
        <f>50545+729+4767+2616.5+6933+8150+80909+800+800</f>
        <v>156249.5</v>
      </c>
      <c r="J23" s="74">
        <f>50545+729+4767+2616.5+6933+80909+800+1500+800</f>
        <v>149599.5</v>
      </c>
      <c r="K23" s="74">
        <f>50545+729+4767+2616.5+6933+80909+800+800</f>
        <v>148099.5</v>
      </c>
      <c r="L23" s="74">
        <f>50545+729+4767+2616.5+6933+8150+80909+800+1500+800</f>
        <v>157749.5</v>
      </c>
      <c r="M23" s="74">
        <f>50545+729+4767+2616.5+6933+80909+800+800</f>
        <v>148099.5</v>
      </c>
      <c r="N23" s="74">
        <f>50546+728+4763+2616.5+6937+8150+80909+800+1500+1200</f>
        <v>158149.5</v>
      </c>
    </row>
    <row r="24" spans="1:14" ht="84.75" customHeight="1">
      <c r="A24" s="16" t="s">
        <v>34</v>
      </c>
      <c r="B24" s="81">
        <f t="shared" ref="B24:B31" si="11">SUM(C24:N24)</f>
        <v>76596</v>
      </c>
      <c r="C24" s="74">
        <f>2312+4070</f>
        <v>6382</v>
      </c>
      <c r="D24" s="74">
        <f t="shared" ref="D24:M24" si="12">2312+4070</f>
        <v>6382</v>
      </c>
      <c r="E24" s="74">
        <f t="shared" si="12"/>
        <v>6382</v>
      </c>
      <c r="F24" s="74">
        <f t="shared" si="12"/>
        <v>6382</v>
      </c>
      <c r="G24" s="74">
        <f t="shared" si="12"/>
        <v>6382</v>
      </c>
      <c r="H24" s="74">
        <f t="shared" si="12"/>
        <v>6382</v>
      </c>
      <c r="I24" s="74">
        <f t="shared" si="12"/>
        <v>6382</v>
      </c>
      <c r="J24" s="74">
        <f t="shared" si="12"/>
        <v>6382</v>
      </c>
      <c r="K24" s="74">
        <f t="shared" si="12"/>
        <v>6382</v>
      </c>
      <c r="L24" s="74">
        <f t="shared" si="12"/>
        <v>6382</v>
      </c>
      <c r="M24" s="74">
        <f t="shared" si="12"/>
        <v>6382</v>
      </c>
      <c r="N24" s="74">
        <f>2315+4079</f>
        <v>6394</v>
      </c>
    </row>
    <row r="25" spans="1:14" ht="84.75" customHeight="1">
      <c r="A25" s="16" t="s">
        <v>35</v>
      </c>
      <c r="B25" s="81">
        <f t="shared" si="11"/>
        <v>582416</v>
      </c>
      <c r="C25" s="74">
        <f>43737+4333+464</f>
        <v>48534</v>
      </c>
      <c r="D25" s="74">
        <f t="shared" ref="D25:M25" si="13">43737+4333+464</f>
        <v>48534</v>
      </c>
      <c r="E25" s="74">
        <f t="shared" si="13"/>
        <v>48534</v>
      </c>
      <c r="F25" s="74">
        <f t="shared" si="13"/>
        <v>48534</v>
      </c>
      <c r="G25" s="74">
        <f t="shared" si="13"/>
        <v>48534</v>
      </c>
      <c r="H25" s="74">
        <f t="shared" si="13"/>
        <v>48534</v>
      </c>
      <c r="I25" s="74">
        <f t="shared" si="13"/>
        <v>48534</v>
      </c>
      <c r="J25" s="74">
        <f t="shared" si="13"/>
        <v>48534</v>
      </c>
      <c r="K25" s="74">
        <f t="shared" si="13"/>
        <v>48534</v>
      </c>
      <c r="L25" s="74">
        <f t="shared" si="13"/>
        <v>48534</v>
      </c>
      <c r="M25" s="74">
        <f t="shared" si="13"/>
        <v>48534</v>
      </c>
      <c r="N25" s="74">
        <f>43745+4337+460</f>
        <v>48542</v>
      </c>
    </row>
    <row r="26" spans="1:14" ht="84.75" customHeight="1">
      <c r="A26" s="16" t="s">
        <v>36</v>
      </c>
      <c r="B26" s="81">
        <f t="shared" si="11"/>
        <v>34505</v>
      </c>
      <c r="C26" s="74">
        <f t="shared" ref="C26:K26" si="14">1672+904+300</f>
        <v>2876</v>
      </c>
      <c r="D26" s="74">
        <f t="shared" si="14"/>
        <v>2876</v>
      </c>
      <c r="E26" s="74">
        <f t="shared" si="14"/>
        <v>2876</v>
      </c>
      <c r="F26" s="74">
        <f t="shared" si="14"/>
        <v>2876</v>
      </c>
      <c r="G26" s="74">
        <f t="shared" si="14"/>
        <v>2876</v>
      </c>
      <c r="H26" s="74">
        <f t="shared" si="14"/>
        <v>2876</v>
      </c>
      <c r="I26" s="74">
        <f t="shared" si="14"/>
        <v>2876</v>
      </c>
      <c r="J26" s="74">
        <f t="shared" si="14"/>
        <v>2876</v>
      </c>
      <c r="K26" s="74">
        <f t="shared" si="14"/>
        <v>2876</v>
      </c>
      <c r="L26" s="74">
        <f>1672+903+300</f>
        <v>2875</v>
      </c>
      <c r="M26" s="74">
        <f>1672+902+300</f>
        <v>2874</v>
      </c>
      <c r="N26" s="74">
        <f>1670+902+300</f>
        <v>2872</v>
      </c>
    </row>
    <row r="27" spans="1:14" ht="84.75" customHeight="1">
      <c r="A27" s="16" t="s">
        <v>37</v>
      </c>
      <c r="B27" s="82">
        <f t="shared" si="11"/>
        <v>675569</v>
      </c>
      <c r="C27" s="74">
        <f>2600+433+2600+385+3501.5+15600+130+10400+941+11026+1383+150+6500+1000</f>
        <v>56649.5</v>
      </c>
      <c r="D27" s="74">
        <f t="shared" ref="D27:M27" si="15">2600+433+2600+3501.5+15600+130+10400+941+11026+1383+150+6500+1000</f>
        <v>56264.5</v>
      </c>
      <c r="E27" s="74">
        <f t="shared" si="15"/>
        <v>56264.5</v>
      </c>
      <c r="F27" s="74">
        <f t="shared" si="15"/>
        <v>56264.5</v>
      </c>
      <c r="G27" s="74">
        <f t="shared" si="15"/>
        <v>56264.5</v>
      </c>
      <c r="H27" s="74">
        <f t="shared" si="15"/>
        <v>56264.5</v>
      </c>
      <c r="I27" s="74">
        <f t="shared" si="15"/>
        <v>56264.5</v>
      </c>
      <c r="J27" s="74">
        <f t="shared" si="15"/>
        <v>56264.5</v>
      </c>
      <c r="K27" s="74">
        <f t="shared" si="15"/>
        <v>56264.5</v>
      </c>
      <c r="L27" s="74">
        <f t="shared" si="15"/>
        <v>56264.5</v>
      </c>
      <c r="M27" s="74">
        <f t="shared" si="15"/>
        <v>56264.5</v>
      </c>
      <c r="N27" s="74">
        <f>2600+437+2600+3501.5+15600+130+10400+943+11026+1387+150+6500+1000</f>
        <v>56274.5</v>
      </c>
    </row>
    <row r="28" spans="1:14" ht="84.75" customHeight="1">
      <c r="A28" s="16" t="s">
        <v>38</v>
      </c>
      <c r="B28" s="82">
        <f t="shared" si="11"/>
        <v>108055</v>
      </c>
      <c r="C28" s="74">
        <f>1378+291+5866+1735</f>
        <v>9270</v>
      </c>
      <c r="D28" s="74">
        <f>1378+5866+1735</f>
        <v>8979</v>
      </c>
      <c r="E28" s="74">
        <f t="shared" ref="E28:L28" si="16">1378+5866+1735</f>
        <v>8979</v>
      </c>
      <c r="F28" s="74">
        <f t="shared" si="16"/>
        <v>8979</v>
      </c>
      <c r="G28" s="74">
        <f t="shared" si="16"/>
        <v>8979</v>
      </c>
      <c r="H28" s="74">
        <f t="shared" si="16"/>
        <v>8979</v>
      </c>
      <c r="I28" s="74">
        <f t="shared" si="16"/>
        <v>8979</v>
      </c>
      <c r="J28" s="74">
        <f t="shared" si="16"/>
        <v>8979</v>
      </c>
      <c r="K28" s="74">
        <f t="shared" si="16"/>
        <v>8979</v>
      </c>
      <c r="L28" s="74">
        <f t="shared" si="16"/>
        <v>8979</v>
      </c>
      <c r="M28" s="74">
        <f>1378+5867+1735</f>
        <v>8980</v>
      </c>
      <c r="N28" s="74">
        <f>1382+5874+1738</f>
        <v>8994</v>
      </c>
    </row>
    <row r="29" spans="1:14" ht="84.75" customHeight="1">
      <c r="A29" s="16" t="s">
        <v>39</v>
      </c>
      <c r="B29" s="81">
        <f t="shared" si="11"/>
        <v>106451</v>
      </c>
      <c r="C29" s="74">
        <f t="shared" ref="C29:M29" si="17">2896+5141+800</f>
        <v>8837</v>
      </c>
      <c r="D29" s="74">
        <f t="shared" si="17"/>
        <v>8837</v>
      </c>
      <c r="E29" s="74">
        <f t="shared" si="17"/>
        <v>8837</v>
      </c>
      <c r="F29" s="74">
        <f t="shared" si="17"/>
        <v>8837</v>
      </c>
      <c r="G29" s="74">
        <f t="shared" si="17"/>
        <v>8837</v>
      </c>
      <c r="H29" s="74">
        <f t="shared" si="17"/>
        <v>8837</v>
      </c>
      <c r="I29" s="74">
        <f t="shared" si="17"/>
        <v>8837</v>
      </c>
      <c r="J29" s="74">
        <f t="shared" si="17"/>
        <v>8837</v>
      </c>
      <c r="K29" s="74">
        <f t="shared" si="17"/>
        <v>8837</v>
      </c>
      <c r="L29" s="74">
        <f t="shared" si="17"/>
        <v>8837</v>
      </c>
      <c r="M29" s="74">
        <f t="shared" si="17"/>
        <v>8837</v>
      </c>
      <c r="N29" s="74">
        <f>2901+5143+1200</f>
        <v>9244</v>
      </c>
    </row>
    <row r="30" spans="1:14" ht="84.75" customHeight="1">
      <c r="A30" s="16" t="s">
        <v>40</v>
      </c>
      <c r="B30" s="81">
        <f t="shared" si="11"/>
        <v>518835</v>
      </c>
      <c r="C30" s="74">
        <f t="shared" ref="C30:J30" si="18">9970+21376+11100+720</f>
        <v>43166</v>
      </c>
      <c r="D30" s="74">
        <f t="shared" si="18"/>
        <v>43166</v>
      </c>
      <c r="E30" s="74">
        <f t="shared" si="18"/>
        <v>43166</v>
      </c>
      <c r="F30" s="74">
        <f t="shared" si="18"/>
        <v>43166</v>
      </c>
      <c r="G30" s="74">
        <f t="shared" si="18"/>
        <v>43166</v>
      </c>
      <c r="H30" s="74">
        <f t="shared" si="18"/>
        <v>43166</v>
      </c>
      <c r="I30" s="74">
        <f t="shared" si="18"/>
        <v>43166</v>
      </c>
      <c r="J30" s="74">
        <f t="shared" si="18"/>
        <v>43166</v>
      </c>
      <c r="K30" s="74">
        <f>9970+21376+11900+720</f>
        <v>43966</v>
      </c>
      <c r="L30" s="74">
        <f>9970+21376+11100+720</f>
        <v>43166</v>
      </c>
      <c r="M30" s="74">
        <f>9970+21376+11100+720</f>
        <v>43166</v>
      </c>
      <c r="N30" s="74">
        <f>9969+21380+11100+760</f>
        <v>43209</v>
      </c>
    </row>
    <row r="31" spans="1:14" ht="84.75" customHeight="1">
      <c r="A31" s="16" t="s">
        <v>41</v>
      </c>
      <c r="B31" s="82">
        <f t="shared" si="11"/>
        <v>997955</v>
      </c>
      <c r="C31" s="74">
        <f>3033+13433</f>
        <v>16466</v>
      </c>
      <c r="D31" s="74">
        <f>3033+13433+72730</f>
        <v>89196</v>
      </c>
      <c r="E31" s="74">
        <f>3033+13433+72727</f>
        <v>89193</v>
      </c>
      <c r="F31" s="74">
        <f>3033+13433+355+72727</f>
        <v>89548</v>
      </c>
      <c r="G31" s="74">
        <f t="shared" ref="G31:M31" si="19">3033+13433+72727</f>
        <v>89193</v>
      </c>
      <c r="H31" s="74">
        <f t="shared" si="19"/>
        <v>89193</v>
      </c>
      <c r="I31" s="74">
        <f t="shared" si="19"/>
        <v>89193</v>
      </c>
      <c r="J31" s="74">
        <f t="shared" si="19"/>
        <v>89193</v>
      </c>
      <c r="K31" s="74">
        <f t="shared" si="19"/>
        <v>89193</v>
      </c>
      <c r="L31" s="74">
        <f t="shared" si="19"/>
        <v>89193</v>
      </c>
      <c r="M31" s="74">
        <f t="shared" si="19"/>
        <v>89193</v>
      </c>
      <c r="N31" s="74">
        <f>3037+13437+72727</f>
        <v>89201</v>
      </c>
    </row>
    <row r="32" spans="1:14" s="79" customFormat="1" ht="84.75" customHeight="1">
      <c r="A32" s="80" t="s">
        <v>42</v>
      </c>
      <c r="B32" s="82">
        <f>SUM(B33:B41)</f>
        <v>590092</v>
      </c>
      <c r="C32" s="81">
        <f t="shared" ref="C32:N32" si="20">SUM(C33:C41)</f>
        <v>49157</v>
      </c>
      <c r="D32" s="81">
        <f t="shared" si="20"/>
        <v>49146</v>
      </c>
      <c r="E32" s="81">
        <f t="shared" si="20"/>
        <v>49146</v>
      </c>
      <c r="F32" s="81">
        <f t="shared" si="20"/>
        <v>49146</v>
      </c>
      <c r="G32" s="81">
        <f t="shared" si="20"/>
        <v>49146</v>
      </c>
      <c r="H32" s="81">
        <f t="shared" si="20"/>
        <v>49146</v>
      </c>
      <c r="I32" s="81">
        <f t="shared" si="20"/>
        <v>49146</v>
      </c>
      <c r="J32" s="81">
        <f t="shared" si="20"/>
        <v>49146</v>
      </c>
      <c r="K32" s="81">
        <f t="shared" si="20"/>
        <v>49146</v>
      </c>
      <c r="L32" s="81">
        <f t="shared" si="20"/>
        <v>49146</v>
      </c>
      <c r="M32" s="81">
        <f t="shared" si="20"/>
        <v>49146</v>
      </c>
      <c r="N32" s="81">
        <f t="shared" si="20"/>
        <v>49475</v>
      </c>
    </row>
    <row r="33" spans="1:14" ht="84.75" customHeight="1">
      <c r="A33" s="16" t="s">
        <v>43</v>
      </c>
      <c r="B33" s="81">
        <f>SUM(C33:N33)</f>
        <v>0</v>
      </c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</row>
    <row r="34" spans="1:14" ht="84.75" customHeight="1">
      <c r="A34" s="16" t="s">
        <v>44</v>
      </c>
      <c r="B34" s="81">
        <f>SUM(C34:N34)</f>
        <v>0</v>
      </c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</row>
    <row r="35" spans="1:14" ht="84.75" customHeight="1">
      <c r="A35" s="16" t="s">
        <v>45</v>
      </c>
      <c r="B35" s="81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</row>
    <row r="36" spans="1:14" ht="84.75" customHeight="1">
      <c r="A36" s="16" t="s">
        <v>46</v>
      </c>
      <c r="B36" s="81">
        <f>SUM(C36:N36)</f>
        <v>590092</v>
      </c>
      <c r="C36" s="74">
        <f>19208+520+23544+3085+300+1500+1000</f>
        <v>49157</v>
      </c>
      <c r="D36" s="74">
        <f t="shared" ref="D36:M36" si="21">19208+520+23533+3085+300+1500+1000</f>
        <v>49146</v>
      </c>
      <c r="E36" s="74">
        <f t="shared" si="21"/>
        <v>49146</v>
      </c>
      <c r="F36" s="74">
        <f t="shared" si="21"/>
        <v>49146</v>
      </c>
      <c r="G36" s="74">
        <f t="shared" si="21"/>
        <v>49146</v>
      </c>
      <c r="H36" s="74">
        <f t="shared" si="21"/>
        <v>49146</v>
      </c>
      <c r="I36" s="74">
        <f t="shared" si="21"/>
        <v>49146</v>
      </c>
      <c r="J36" s="74">
        <f t="shared" si="21"/>
        <v>49146</v>
      </c>
      <c r="K36" s="74">
        <f t="shared" si="21"/>
        <v>49146</v>
      </c>
      <c r="L36" s="74">
        <f t="shared" si="21"/>
        <v>49146</v>
      </c>
      <c r="M36" s="74">
        <f t="shared" si="21"/>
        <v>49146</v>
      </c>
      <c r="N36" s="74">
        <f>19218+520+23533+3084+300+1500+1320</f>
        <v>49475</v>
      </c>
    </row>
    <row r="37" spans="1:14" ht="84.75" customHeight="1">
      <c r="A37" s="16" t="s">
        <v>47</v>
      </c>
      <c r="B37" s="81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</row>
    <row r="38" spans="1:14" ht="84.75" customHeight="1">
      <c r="A38" s="16" t="s">
        <v>48</v>
      </c>
      <c r="B38" s="81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</row>
    <row r="39" spans="1:14" ht="84.75" customHeight="1">
      <c r="A39" s="16" t="s">
        <v>49</v>
      </c>
      <c r="B39" s="81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</row>
    <row r="40" spans="1:14" ht="84.75" customHeight="1">
      <c r="A40" s="16" t="s">
        <v>50</v>
      </c>
      <c r="B40" s="81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</row>
    <row r="41" spans="1:14" ht="84.75" customHeight="1">
      <c r="A41" s="110" t="s">
        <v>51</v>
      </c>
      <c r="B41" s="112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</row>
    <row r="42" spans="1:14" s="79" customFormat="1" ht="84.75" customHeight="1">
      <c r="A42" s="80" t="s">
        <v>52</v>
      </c>
      <c r="B42" s="81">
        <f>SUM(B43:B51)</f>
        <v>42731</v>
      </c>
      <c r="C42" s="81">
        <f t="shared" ref="C42:N42" si="22">SUM(C43:C51)</f>
        <v>3560</v>
      </c>
      <c r="D42" s="81">
        <f t="shared" si="22"/>
        <v>3560</v>
      </c>
      <c r="E42" s="81">
        <f t="shared" si="22"/>
        <v>3560</v>
      </c>
      <c r="F42" s="81">
        <f t="shared" si="22"/>
        <v>3560</v>
      </c>
      <c r="G42" s="81">
        <f t="shared" si="22"/>
        <v>3560</v>
      </c>
      <c r="H42" s="81">
        <f t="shared" si="22"/>
        <v>3560</v>
      </c>
      <c r="I42" s="81">
        <f t="shared" si="22"/>
        <v>3560</v>
      </c>
      <c r="J42" s="81">
        <f t="shared" si="22"/>
        <v>3560</v>
      </c>
      <c r="K42" s="81">
        <f t="shared" si="22"/>
        <v>3560</v>
      </c>
      <c r="L42" s="81">
        <f t="shared" si="22"/>
        <v>3560</v>
      </c>
      <c r="M42" s="81">
        <f t="shared" si="22"/>
        <v>3560</v>
      </c>
      <c r="N42" s="81">
        <f t="shared" si="22"/>
        <v>3571</v>
      </c>
    </row>
    <row r="43" spans="1:14" ht="84.75" customHeight="1">
      <c r="A43" s="16" t="s">
        <v>53</v>
      </c>
      <c r="B43" s="81">
        <f>SUM(C43:N43)</f>
        <v>42731</v>
      </c>
      <c r="C43" s="74">
        <f>2560+1000</f>
        <v>3560</v>
      </c>
      <c r="D43" s="74">
        <f>2560+1000</f>
        <v>3560</v>
      </c>
      <c r="E43" s="74">
        <f>2560+1000</f>
        <v>3560</v>
      </c>
      <c r="F43" s="74">
        <f>2560+1000</f>
        <v>3560</v>
      </c>
      <c r="G43" s="74">
        <f t="shared" ref="G43:M43" si="23">2560+1000</f>
        <v>3560</v>
      </c>
      <c r="H43" s="74">
        <f t="shared" si="23"/>
        <v>3560</v>
      </c>
      <c r="I43" s="74">
        <f t="shared" si="23"/>
        <v>3560</v>
      </c>
      <c r="J43" s="74">
        <f t="shared" si="23"/>
        <v>3560</v>
      </c>
      <c r="K43" s="74">
        <f t="shared" si="23"/>
        <v>3560</v>
      </c>
      <c r="L43" s="74">
        <f t="shared" si="23"/>
        <v>3560</v>
      </c>
      <c r="M43" s="74">
        <f t="shared" si="23"/>
        <v>3560</v>
      </c>
      <c r="N43" s="74">
        <f>2571+1000</f>
        <v>3571</v>
      </c>
    </row>
    <row r="44" spans="1:14" ht="84.75" customHeight="1">
      <c r="A44" s="16" t="s">
        <v>54</v>
      </c>
      <c r="B44" s="81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</row>
    <row r="45" spans="1:14" ht="84.75" customHeight="1">
      <c r="A45" s="16" t="s">
        <v>55</v>
      </c>
      <c r="B45" s="81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</row>
    <row r="46" spans="1:14" ht="84.75" customHeight="1">
      <c r="A46" s="16" t="s">
        <v>56</v>
      </c>
      <c r="B46" s="81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</row>
    <row r="47" spans="1:14" ht="84.75" customHeight="1">
      <c r="A47" s="16" t="s">
        <v>57</v>
      </c>
      <c r="B47" s="81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</row>
    <row r="48" spans="1:14" ht="84.75" customHeight="1">
      <c r="A48" s="16" t="s">
        <v>58</v>
      </c>
      <c r="B48" s="81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</row>
    <row r="49" spans="1:14" ht="84.75" customHeight="1">
      <c r="A49" s="16" t="s">
        <v>59</v>
      </c>
      <c r="B49" s="81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</row>
    <row r="50" spans="1:14" ht="84.75" customHeight="1">
      <c r="A50" s="16" t="s">
        <v>60</v>
      </c>
      <c r="B50" s="81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</row>
    <row r="51" spans="1:14" ht="84.75" customHeight="1">
      <c r="A51" s="16" t="s">
        <v>61</v>
      </c>
      <c r="B51" s="81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</row>
    <row r="52" spans="1:14" s="79" customFormat="1" ht="84.75" customHeight="1">
      <c r="A52" s="80" t="s">
        <v>62</v>
      </c>
      <c r="B52" s="82">
        <f>SUM(B53:B55)</f>
        <v>4830222.9000000004</v>
      </c>
      <c r="C52" s="82">
        <f t="shared" ref="C52:N52" si="24">SUM(C53:C55)</f>
        <v>0</v>
      </c>
      <c r="D52" s="82">
        <f t="shared" si="24"/>
        <v>449939.03</v>
      </c>
      <c r="E52" s="82">
        <f t="shared" si="24"/>
        <v>367986.03</v>
      </c>
      <c r="F52" s="82">
        <f t="shared" si="24"/>
        <v>441793.02999999997</v>
      </c>
      <c r="G52" s="82">
        <f t="shared" si="24"/>
        <v>449943.03</v>
      </c>
      <c r="H52" s="82">
        <f t="shared" si="24"/>
        <v>367986.03</v>
      </c>
      <c r="I52" s="82">
        <f t="shared" si="24"/>
        <v>441793.03</v>
      </c>
      <c r="J52" s="82">
        <f t="shared" si="24"/>
        <v>449943.03</v>
      </c>
      <c r="K52" s="82">
        <f t="shared" si="24"/>
        <v>367985.93000000005</v>
      </c>
      <c r="L52" s="82">
        <f t="shared" si="24"/>
        <v>441793.03</v>
      </c>
      <c r="M52" s="82">
        <f t="shared" si="24"/>
        <v>449943.03</v>
      </c>
      <c r="N52" s="82">
        <f t="shared" si="24"/>
        <v>601117.69999999995</v>
      </c>
    </row>
    <row r="53" spans="1:14" ht="84.75" customHeight="1">
      <c r="A53" s="16" t="s">
        <v>63</v>
      </c>
      <c r="B53" s="81">
        <f>SUM(C53:N53)</f>
        <v>4830222.9000000004</v>
      </c>
      <c r="C53" s="74"/>
      <c r="D53" s="74">
        <f>66638.16+155489.04+35000+145000+47811.83</f>
        <v>449939.03</v>
      </c>
      <c r="E53" s="74">
        <f>44425.44+177701.76+145858.83</f>
        <v>367986.03</v>
      </c>
      <c r="F53" s="74">
        <f>222127.2+118918.66+100747.17</f>
        <v>441793.02999999997</v>
      </c>
      <c r="G53" s="74">
        <f>222127.2+227815.83</f>
        <v>449943.03</v>
      </c>
      <c r="H53" s="74">
        <f>222127.2+145858.83</f>
        <v>367986.03</v>
      </c>
      <c r="I53" s="74">
        <f>222127.2+219665.83</f>
        <v>441793.03</v>
      </c>
      <c r="J53" s="74">
        <f>222127.2+90074.98+137740.85</f>
        <v>449943.03</v>
      </c>
      <c r="K53" s="74">
        <f>222127.2+145858.73</f>
        <v>367985.93000000005</v>
      </c>
      <c r="L53" s="74">
        <f>222127.2+219665.83</f>
        <v>441793.03</v>
      </c>
      <c r="M53" s="74">
        <f>222127.2+227815.83</f>
        <v>449943.03</v>
      </c>
      <c r="N53" s="74">
        <v>601117.69999999995</v>
      </c>
    </row>
    <row r="54" spans="1:14" ht="84.75" customHeight="1">
      <c r="A54" s="16" t="s">
        <v>64</v>
      </c>
      <c r="B54" s="81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</row>
    <row r="55" spans="1:14" ht="84.75" customHeight="1">
      <c r="A55" s="16" t="s">
        <v>65</v>
      </c>
      <c r="B55" s="81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</row>
    <row r="56" spans="1:14" ht="84.75" customHeight="1">
      <c r="A56" s="80" t="s">
        <v>66</v>
      </c>
      <c r="B56" s="81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</row>
    <row r="57" spans="1:14" ht="84.75" customHeight="1">
      <c r="A57" s="16" t="s">
        <v>67</v>
      </c>
      <c r="B57" s="81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</row>
    <row r="58" spans="1:14" ht="84.75" customHeight="1">
      <c r="A58" s="16" t="s">
        <v>68</v>
      </c>
      <c r="B58" s="81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</row>
    <row r="59" spans="1:14" ht="84.75" customHeight="1">
      <c r="A59" s="16" t="s">
        <v>69</v>
      </c>
      <c r="B59" s="81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</row>
    <row r="60" spans="1:14" ht="84.75" customHeight="1">
      <c r="A60" s="16" t="s">
        <v>70</v>
      </c>
      <c r="B60" s="81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</row>
    <row r="61" spans="1:14" ht="84.75" customHeight="1">
      <c r="A61" s="16" t="s">
        <v>71</v>
      </c>
      <c r="B61" s="81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</row>
    <row r="62" spans="1:14" ht="84.75" customHeight="1">
      <c r="A62" s="16" t="s">
        <v>72</v>
      </c>
      <c r="B62" s="81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</row>
    <row r="63" spans="1:14" ht="84.75" customHeight="1">
      <c r="A63" s="16" t="s">
        <v>73</v>
      </c>
      <c r="B63" s="81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</row>
    <row r="64" spans="1:14" s="79" customFormat="1" ht="84.75" customHeight="1">
      <c r="A64" s="80" t="s">
        <v>74</v>
      </c>
      <c r="B64" s="81">
        <f>+B67</f>
        <v>305871.09999999998</v>
      </c>
      <c r="C64" s="81">
        <f t="shared" ref="C64:N64" si="25">+C67</f>
        <v>5000</v>
      </c>
      <c r="D64" s="81">
        <f t="shared" si="25"/>
        <v>5000</v>
      </c>
      <c r="E64" s="81">
        <f t="shared" si="25"/>
        <v>86957</v>
      </c>
      <c r="F64" s="81">
        <f t="shared" si="25"/>
        <v>5000</v>
      </c>
      <c r="G64" s="81">
        <f t="shared" si="25"/>
        <v>5000</v>
      </c>
      <c r="H64" s="81">
        <f t="shared" si="25"/>
        <v>86957</v>
      </c>
      <c r="I64" s="81">
        <f t="shared" si="25"/>
        <v>5000</v>
      </c>
      <c r="J64" s="81">
        <f t="shared" si="25"/>
        <v>5000</v>
      </c>
      <c r="K64" s="81">
        <f t="shared" si="25"/>
        <v>86957.1</v>
      </c>
      <c r="L64" s="81">
        <f t="shared" si="25"/>
        <v>5000</v>
      </c>
      <c r="M64" s="81">
        <f t="shared" si="25"/>
        <v>5000</v>
      </c>
      <c r="N64" s="81">
        <f t="shared" si="25"/>
        <v>5000</v>
      </c>
    </row>
    <row r="65" spans="1:14" ht="84.75" customHeight="1">
      <c r="A65" s="16" t="s">
        <v>75</v>
      </c>
      <c r="B65" s="81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</row>
    <row r="66" spans="1:14" ht="84.75" customHeight="1">
      <c r="A66" s="16" t="s">
        <v>76</v>
      </c>
      <c r="B66" s="81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</row>
    <row r="67" spans="1:14" ht="84.75" customHeight="1">
      <c r="A67" s="110" t="s">
        <v>77</v>
      </c>
      <c r="B67" s="112">
        <f>SUM(C67:N67)</f>
        <v>305871.09999999998</v>
      </c>
      <c r="C67" s="111">
        <v>5000</v>
      </c>
      <c r="D67" s="111">
        <v>5000</v>
      </c>
      <c r="E67" s="111">
        <f>81957+5000</f>
        <v>86957</v>
      </c>
      <c r="F67" s="111">
        <v>5000</v>
      </c>
      <c r="G67" s="111">
        <v>5000</v>
      </c>
      <c r="H67" s="111">
        <f>81957+5000</f>
        <v>86957</v>
      </c>
      <c r="I67" s="111">
        <v>5000</v>
      </c>
      <c r="J67" s="111">
        <v>5000</v>
      </c>
      <c r="K67" s="111">
        <f>81957.1+5000</f>
        <v>86957.1</v>
      </c>
      <c r="L67" s="111">
        <v>5000</v>
      </c>
      <c r="M67" s="111">
        <v>5000</v>
      </c>
      <c r="N67" s="111">
        <v>5000</v>
      </c>
    </row>
    <row r="68" spans="1:14" s="79" customFormat="1" ht="84.75" customHeight="1">
      <c r="A68" s="80" t="s">
        <v>78</v>
      </c>
      <c r="B68" s="81">
        <f>SUM(B69:B75)</f>
        <v>740558.72</v>
      </c>
      <c r="C68" s="81">
        <f t="shared" ref="C68:N68" si="26">SUM(C69:C75)</f>
        <v>63822.45</v>
      </c>
      <c r="D68" s="81">
        <f t="shared" si="26"/>
        <v>63454.59</v>
      </c>
      <c r="E68" s="81">
        <f t="shared" si="26"/>
        <v>62410.38</v>
      </c>
      <c r="F68" s="81">
        <f t="shared" si="26"/>
        <v>62932.38</v>
      </c>
      <c r="G68" s="81">
        <f t="shared" si="26"/>
        <v>61947.6</v>
      </c>
      <c r="H68" s="81">
        <f t="shared" si="26"/>
        <v>61983.189999999995</v>
      </c>
      <c r="I68" s="81">
        <f t="shared" si="26"/>
        <v>61615.34</v>
      </c>
      <c r="J68" s="81">
        <f t="shared" si="26"/>
        <v>61081.36</v>
      </c>
      <c r="K68" s="81">
        <f t="shared" si="26"/>
        <v>61188.159999999996</v>
      </c>
      <c r="L68" s="81">
        <f t="shared" si="26"/>
        <v>60084.6</v>
      </c>
      <c r="M68" s="81">
        <f t="shared" si="26"/>
        <v>60143.93</v>
      </c>
      <c r="N68" s="81">
        <f t="shared" si="26"/>
        <v>59894.74</v>
      </c>
    </row>
    <row r="69" spans="1:14" ht="84.75" customHeight="1">
      <c r="A69" s="16" t="s">
        <v>79</v>
      </c>
      <c r="B69" s="81">
        <f>SUM(C69:N69)</f>
        <v>673170.72</v>
      </c>
      <c r="C69" s="74">
        <v>56097.56</v>
      </c>
      <c r="D69" s="74">
        <v>56097.56</v>
      </c>
      <c r="E69" s="74">
        <v>56097.56</v>
      </c>
      <c r="F69" s="74">
        <v>56097.56</v>
      </c>
      <c r="G69" s="74">
        <v>56097.56</v>
      </c>
      <c r="H69" s="74">
        <v>56097.56</v>
      </c>
      <c r="I69" s="74">
        <v>56097.56</v>
      </c>
      <c r="J69" s="74">
        <v>56097.56</v>
      </c>
      <c r="K69" s="74">
        <v>56097.56</v>
      </c>
      <c r="L69" s="74">
        <v>56097.56</v>
      </c>
      <c r="M69" s="74">
        <v>56097.56</v>
      </c>
      <c r="N69" s="74">
        <v>56097.56</v>
      </c>
    </row>
    <row r="70" spans="1:14" ht="84.75" customHeight="1">
      <c r="A70" s="16" t="s">
        <v>80</v>
      </c>
      <c r="B70" s="81">
        <f>SUM(C70:N70)</f>
        <v>67388</v>
      </c>
      <c r="C70" s="74">
        <v>7724.89</v>
      </c>
      <c r="D70" s="74">
        <v>7357.03</v>
      </c>
      <c r="E70" s="74">
        <v>6312.82</v>
      </c>
      <c r="F70" s="74">
        <v>6834.82</v>
      </c>
      <c r="G70" s="74">
        <v>5850.04</v>
      </c>
      <c r="H70" s="74">
        <v>5885.63</v>
      </c>
      <c r="I70" s="74">
        <v>5517.78</v>
      </c>
      <c r="J70" s="74">
        <v>4983.8</v>
      </c>
      <c r="K70" s="74">
        <v>5090.6000000000004</v>
      </c>
      <c r="L70" s="74">
        <v>3987.04</v>
      </c>
      <c r="M70" s="74">
        <v>4046.37</v>
      </c>
      <c r="N70" s="74">
        <v>3797.18</v>
      </c>
    </row>
    <row r="71" spans="1:14" ht="84.75" customHeight="1">
      <c r="A71" s="16" t="s">
        <v>81</v>
      </c>
      <c r="B71" s="81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</row>
    <row r="72" spans="1:14" ht="84.75" customHeight="1">
      <c r="A72" s="16" t="s">
        <v>82</v>
      </c>
      <c r="B72" s="81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</row>
    <row r="73" spans="1:14" ht="84.75" customHeight="1">
      <c r="A73" s="16" t="s">
        <v>83</v>
      </c>
      <c r="B73" s="81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</row>
    <row r="74" spans="1:14" ht="84.75" customHeight="1">
      <c r="A74" s="16" t="s">
        <v>84</v>
      </c>
      <c r="B74" s="81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</row>
    <row r="75" spans="1:14" ht="84.75" customHeight="1" thickBot="1">
      <c r="A75" s="17" t="s">
        <v>85</v>
      </c>
      <c r="B75" s="113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</row>
    <row r="76" spans="1:14" s="79" customFormat="1" ht="84.75" customHeight="1" thickBot="1">
      <c r="A76" s="83" t="s">
        <v>168</v>
      </c>
      <c r="B76" s="84">
        <f>SUM(B68,B64,B52,B42,B32,B22,B12,B4)</f>
        <v>17546101</v>
      </c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</row>
    <row r="77" spans="1:14" ht="84.75" customHeight="1"/>
  </sheetData>
  <mergeCells count="2">
    <mergeCell ref="A1:N1"/>
    <mergeCell ref="A2:N2"/>
  </mergeCells>
  <pageMargins left="0.70866141732283472" right="0.70866141732283472" top="0.74803149606299213" bottom="0.74803149606299213" header="0.31496062992125984" footer="0.31496062992125984"/>
  <pageSetup scale="21" orientation="landscape" verticalDpi="0" r:id="rId1"/>
  <headerFooter>
    <oddFooter>&amp;C&amp;P</oddFooter>
  </headerFooter>
  <rowBreaks count="3" manualBreakCount="3">
    <brk id="21" max="16383" man="1"/>
    <brk id="41" max="16383" man="1"/>
    <brk id="67" max="1638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0"/>
  <sheetViews>
    <sheetView view="pageBreakPreview" zoomScale="60" zoomScaleNormal="100" workbookViewId="0">
      <selection activeCell="A2" sqref="A2:B2"/>
    </sheetView>
  </sheetViews>
  <sheetFormatPr baseColWidth="10" defaultRowHeight="18.75"/>
  <cols>
    <col min="1" max="1" width="43.42578125" style="7" customWidth="1"/>
    <col min="2" max="2" width="62" style="7" customWidth="1"/>
    <col min="3" max="16384" width="11.42578125" style="7"/>
  </cols>
  <sheetData>
    <row r="1" spans="1:2" s="53" customFormat="1" ht="21">
      <c r="A1" s="198" t="s">
        <v>205</v>
      </c>
      <c r="B1" s="199"/>
    </row>
    <row r="2" spans="1:2" s="53" customFormat="1" ht="21">
      <c r="A2" s="201" t="s">
        <v>227</v>
      </c>
      <c r="B2" s="202"/>
    </row>
    <row r="3" spans="1:2" s="53" customFormat="1" ht="21.75" thickBot="1">
      <c r="A3" s="204" t="s">
        <v>231</v>
      </c>
      <c r="B3" s="205"/>
    </row>
    <row r="4" spans="1:2" ht="30.75" customHeight="1" thickBot="1">
      <c r="A4" s="62" t="s">
        <v>176</v>
      </c>
      <c r="B4" s="63" t="s">
        <v>177</v>
      </c>
    </row>
    <row r="5" spans="1:2" ht="97.5" customHeight="1" thickBot="1">
      <c r="A5" s="60" t="s">
        <v>178</v>
      </c>
      <c r="B5" s="61" t="s">
        <v>234</v>
      </c>
    </row>
    <row r="6" spans="1:2" ht="97.5" customHeight="1" thickBot="1">
      <c r="A6" s="60" t="s">
        <v>179</v>
      </c>
      <c r="B6" s="61" t="s">
        <v>235</v>
      </c>
    </row>
    <row r="7" spans="1:2" ht="97.5" customHeight="1" thickBot="1">
      <c r="A7" s="60" t="s">
        <v>180</v>
      </c>
      <c r="B7" s="61" t="s">
        <v>236</v>
      </c>
    </row>
    <row r="8" spans="1:2" ht="97.5" customHeight="1" thickBot="1">
      <c r="A8" s="60" t="s">
        <v>181</v>
      </c>
      <c r="B8" s="61" t="s">
        <v>237</v>
      </c>
    </row>
    <row r="9" spans="1:2" ht="97.5" customHeight="1" thickBot="1">
      <c r="A9" s="60" t="s">
        <v>182</v>
      </c>
      <c r="B9" s="61" t="s">
        <v>238</v>
      </c>
    </row>
    <row r="10" spans="1:2" ht="97.5" customHeight="1" thickBot="1">
      <c r="A10" s="60" t="s">
        <v>183</v>
      </c>
      <c r="B10" s="61" t="s">
        <v>239</v>
      </c>
    </row>
  </sheetData>
  <mergeCells count="3">
    <mergeCell ref="A1:B1"/>
    <mergeCell ref="A2:B2"/>
    <mergeCell ref="A3:B3"/>
  </mergeCells>
  <pageMargins left="0.70866141732283472" right="0.70866141732283472" top="0.74803149606299213" bottom="0.74803149606299213" header="0.31496062992125984" footer="0.31496062992125984"/>
  <pageSetup scale="85" orientation="portrait" verticalDpi="0" r:id="rId1"/>
  <headerFooter>
    <oddFooter>&amp;C&amp;P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B1:C26"/>
  <sheetViews>
    <sheetView workbookViewId="0">
      <selection activeCell="A2" sqref="A2"/>
    </sheetView>
  </sheetViews>
  <sheetFormatPr baseColWidth="10" defaultRowHeight="15"/>
  <cols>
    <col min="1" max="1" width="17.28515625" customWidth="1"/>
    <col min="2" max="2" width="45.28515625" customWidth="1"/>
    <col min="3" max="3" width="24.5703125" customWidth="1"/>
  </cols>
  <sheetData>
    <row r="1" spans="2:3" ht="18">
      <c r="B1" s="239" t="s">
        <v>205</v>
      </c>
      <c r="C1" s="240"/>
    </row>
    <row r="2" spans="2:3" ht="24" customHeight="1">
      <c r="B2" s="242" t="s">
        <v>228</v>
      </c>
      <c r="C2" s="241"/>
    </row>
    <row r="3" spans="2:3" ht="18.75" thickBot="1">
      <c r="B3" s="241" t="s">
        <v>231</v>
      </c>
      <c r="C3" s="241"/>
    </row>
    <row r="4" spans="2:3" ht="22.5" customHeight="1" thickBot="1">
      <c r="B4" s="64" t="s">
        <v>184</v>
      </c>
      <c r="C4" s="65" t="s">
        <v>185</v>
      </c>
    </row>
    <row r="5" spans="2:3" ht="22.5" customHeight="1" thickBot="1">
      <c r="B5" s="66" t="s">
        <v>13</v>
      </c>
      <c r="C5" s="114">
        <v>17546101</v>
      </c>
    </row>
    <row r="6" spans="2:3" ht="22.5" customHeight="1" thickBot="1">
      <c r="B6" s="1" t="s">
        <v>172</v>
      </c>
      <c r="C6" s="107">
        <v>841597</v>
      </c>
    </row>
    <row r="7" spans="2:3" ht="22.5" customHeight="1" thickBot="1">
      <c r="B7" s="1" t="s">
        <v>186</v>
      </c>
      <c r="C7" s="2"/>
    </row>
    <row r="8" spans="2:3" ht="22.5" customHeight="1" thickBot="1">
      <c r="B8" s="1" t="s">
        <v>187</v>
      </c>
      <c r="C8" s="2"/>
    </row>
    <row r="9" spans="2:3" ht="22.5" customHeight="1" thickBot="1">
      <c r="B9" s="1" t="s">
        <v>173</v>
      </c>
      <c r="C9" s="107">
        <v>1604815</v>
      </c>
    </row>
    <row r="10" spans="2:3" ht="22.5" customHeight="1" thickBot="1">
      <c r="B10" s="1" t="s">
        <v>174</v>
      </c>
      <c r="C10" s="107">
        <v>100000</v>
      </c>
    </row>
    <row r="11" spans="2:3" ht="22.5" customHeight="1" thickBot="1">
      <c r="B11" s="1" t="s">
        <v>175</v>
      </c>
      <c r="C11" s="107">
        <v>50000</v>
      </c>
    </row>
    <row r="12" spans="2:3" ht="22.5" customHeight="1" thickBot="1">
      <c r="B12" s="1" t="s">
        <v>188</v>
      </c>
      <c r="C12" s="2"/>
    </row>
    <row r="13" spans="2:3" ht="22.5" customHeight="1" thickBot="1">
      <c r="B13" s="1" t="s">
        <v>74</v>
      </c>
      <c r="C13" s="107">
        <v>14949689</v>
      </c>
    </row>
    <row r="14" spans="2:3" ht="22.5" customHeight="1" thickBot="1">
      <c r="B14" s="1" t="s">
        <v>42</v>
      </c>
      <c r="C14" s="2"/>
    </row>
    <row r="15" spans="2:3" ht="22.5" customHeight="1" thickBot="1"/>
    <row r="16" spans="2:3" ht="22.5" customHeight="1" thickBot="1">
      <c r="B16" s="67" t="s">
        <v>181</v>
      </c>
      <c r="C16" s="68" t="s">
        <v>185</v>
      </c>
    </row>
    <row r="17" spans="2:3" ht="22.5" customHeight="1" thickBot="1">
      <c r="B17" s="66" t="s">
        <v>13</v>
      </c>
      <c r="C17" s="114">
        <f>SUM(C18:C26)</f>
        <v>17546101</v>
      </c>
    </row>
    <row r="18" spans="2:3" ht="22.5" customHeight="1" thickBot="1">
      <c r="B18" s="1" t="s">
        <v>14</v>
      </c>
      <c r="C18" s="107">
        <f>'EAEPE COG'!C8</f>
        <v>4816450</v>
      </c>
    </row>
    <row r="19" spans="2:3" ht="22.5" customHeight="1" thickBot="1">
      <c r="B19" s="1" t="s">
        <v>22</v>
      </c>
      <c r="C19" s="107">
        <f>'EAEPE COG'!C16</f>
        <v>1381507.28</v>
      </c>
    </row>
    <row r="20" spans="2:3" ht="22.5" customHeight="1" thickBot="1">
      <c r="B20" s="1" t="s">
        <v>32</v>
      </c>
      <c r="C20" s="107">
        <f>'EAEPE COG'!C26</f>
        <v>4838668</v>
      </c>
    </row>
    <row r="21" spans="2:3" ht="22.5" customHeight="1" thickBot="1">
      <c r="B21" s="1" t="s">
        <v>42</v>
      </c>
      <c r="C21" s="107">
        <f>'EAEPE COG'!C36</f>
        <v>590092</v>
      </c>
    </row>
    <row r="22" spans="2:3" ht="22.5" customHeight="1" thickBot="1">
      <c r="B22" s="1" t="s">
        <v>52</v>
      </c>
      <c r="C22" s="107">
        <f>'EAEPE COG'!C46</f>
        <v>42731</v>
      </c>
    </row>
    <row r="23" spans="2:3" ht="22.5" customHeight="1" thickBot="1">
      <c r="B23" s="1" t="s">
        <v>62</v>
      </c>
      <c r="C23" s="107">
        <f>'EAEPE COG'!C56</f>
        <v>4830222.9000000004</v>
      </c>
    </row>
    <row r="24" spans="2:3" ht="22.5" customHeight="1" thickBot="1">
      <c r="B24" s="1" t="s">
        <v>66</v>
      </c>
      <c r="C24" s="2"/>
    </row>
    <row r="25" spans="2:3" ht="22.5" customHeight="1" thickBot="1">
      <c r="B25" s="1" t="s">
        <v>74</v>
      </c>
      <c r="C25" s="117">
        <f>+CPE!B64</f>
        <v>305871.09999999998</v>
      </c>
    </row>
    <row r="26" spans="2:3" ht="22.5" customHeight="1" thickBot="1">
      <c r="B26" s="1" t="s">
        <v>78</v>
      </c>
      <c r="C26" s="107">
        <f>'EAEPE COG'!C72</f>
        <v>740558.72</v>
      </c>
    </row>
  </sheetData>
  <mergeCells count="3">
    <mergeCell ref="B1:C1"/>
    <mergeCell ref="B3:C3"/>
    <mergeCell ref="B2:C2"/>
  </mergeCells>
  <pageMargins left="0.70866141732283472" right="0.70866141732283472" top="0.74803149606299213" bottom="0.74803149606299213" header="0.31496062992125984" footer="0.31496062992125984"/>
  <pageSetup orientation="portrait" verticalDpi="0" r:id="rId1"/>
  <headerFooter>
    <oddFooter>&amp;C&amp;P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77"/>
  <sheetViews>
    <sheetView view="pageBreakPreview" topLeftCell="A76" zoomScaleNormal="100" zoomScaleSheetLayoutView="100" workbookViewId="0">
      <selection sqref="A1:B1"/>
    </sheetView>
  </sheetViews>
  <sheetFormatPr baseColWidth="10" defaultRowHeight="15.75"/>
  <cols>
    <col min="1" max="1" width="60.85546875" style="5" customWidth="1"/>
    <col min="2" max="2" width="28.85546875" style="5" customWidth="1"/>
    <col min="3" max="16384" width="11.42578125" style="5"/>
  </cols>
  <sheetData>
    <row r="1" spans="1:2" ht="36" customHeight="1" thickBot="1">
      <c r="A1" s="243" t="s">
        <v>229</v>
      </c>
      <c r="B1" s="244"/>
    </row>
    <row r="2" spans="1:2" ht="36" customHeight="1" thickBot="1">
      <c r="A2" s="245" t="s">
        <v>240</v>
      </c>
      <c r="B2" s="246"/>
    </row>
    <row r="3" spans="1:2" ht="36" customHeight="1" thickBot="1">
      <c r="A3" s="71" t="s">
        <v>189</v>
      </c>
      <c r="B3" s="72" t="s">
        <v>185</v>
      </c>
    </row>
    <row r="4" spans="1:2" ht="36" customHeight="1" thickBot="1">
      <c r="A4" s="71" t="s">
        <v>13</v>
      </c>
      <c r="B4" s="115">
        <f>+B5+B13+B23+B33+B43+B53+B69+B65</f>
        <v>17546101.000000004</v>
      </c>
    </row>
    <row r="5" spans="1:2" ht="36" customHeight="1" thickBot="1">
      <c r="A5" s="25" t="s">
        <v>14</v>
      </c>
      <c r="B5" s="108">
        <f>CPE!B4</f>
        <v>4816450</v>
      </c>
    </row>
    <row r="6" spans="1:2" ht="36" customHeight="1" thickBot="1">
      <c r="A6" s="25" t="s">
        <v>15</v>
      </c>
      <c r="B6" s="108">
        <f>CPE!B5</f>
        <v>4534130</v>
      </c>
    </row>
    <row r="7" spans="1:2" ht="36" customHeight="1" thickBot="1">
      <c r="A7" s="25" t="s">
        <v>16</v>
      </c>
      <c r="B7" s="108">
        <f>CPE!B6</f>
        <v>0</v>
      </c>
    </row>
    <row r="8" spans="1:2" ht="36" customHeight="1" thickBot="1">
      <c r="A8" s="25" t="s">
        <v>17</v>
      </c>
      <c r="B8" s="108">
        <f>CPE!B7</f>
        <v>256320</v>
      </c>
    </row>
    <row r="9" spans="1:2" ht="36" customHeight="1" thickBot="1">
      <c r="A9" s="25" t="s">
        <v>18</v>
      </c>
      <c r="B9" s="108">
        <f>CPE!B8</f>
        <v>0</v>
      </c>
    </row>
    <row r="10" spans="1:2" ht="36" customHeight="1" thickBot="1">
      <c r="A10" s="25" t="s">
        <v>19</v>
      </c>
      <c r="B10" s="108">
        <f>CPE!B9</f>
        <v>26000</v>
      </c>
    </row>
    <row r="11" spans="1:2" ht="36" customHeight="1" thickBot="1">
      <c r="A11" s="25" t="s">
        <v>20</v>
      </c>
      <c r="B11" s="108">
        <f>CPE!B10</f>
        <v>0</v>
      </c>
    </row>
    <row r="12" spans="1:2" ht="36" customHeight="1" thickBot="1">
      <c r="A12" s="25" t="s">
        <v>21</v>
      </c>
      <c r="B12" s="108">
        <f>CPE!B11</f>
        <v>0</v>
      </c>
    </row>
    <row r="13" spans="1:2" ht="36" customHeight="1" thickBot="1">
      <c r="A13" s="25" t="s">
        <v>22</v>
      </c>
      <c r="B13" s="108">
        <f>CPE!B12</f>
        <v>1381507.28</v>
      </c>
    </row>
    <row r="14" spans="1:2" ht="36" customHeight="1" thickBot="1">
      <c r="A14" s="25" t="s">
        <v>23</v>
      </c>
      <c r="B14" s="108">
        <f>CPE!B13</f>
        <v>375833</v>
      </c>
    </row>
    <row r="15" spans="1:2" ht="36" customHeight="1" thickBot="1">
      <c r="A15" s="25" t="s">
        <v>24</v>
      </c>
      <c r="B15" s="108">
        <f>CPE!B14</f>
        <v>79293</v>
      </c>
    </row>
    <row r="16" spans="1:2" ht="36" customHeight="1" thickBot="1">
      <c r="A16" s="25" t="s">
        <v>25</v>
      </c>
      <c r="B16" s="108">
        <f>CPE!B15</f>
        <v>0</v>
      </c>
    </row>
    <row r="17" spans="1:2" ht="36" customHeight="1" thickBot="1">
      <c r="A17" s="25" t="s">
        <v>26</v>
      </c>
      <c r="B17" s="108">
        <f>CPE!B16</f>
        <v>187200</v>
      </c>
    </row>
    <row r="18" spans="1:2" ht="36" customHeight="1" thickBot="1">
      <c r="A18" s="25" t="s">
        <v>27</v>
      </c>
      <c r="B18" s="108">
        <f>CPE!B17</f>
        <v>14764</v>
      </c>
    </row>
    <row r="19" spans="1:2" ht="36" customHeight="1" thickBot="1">
      <c r="A19" s="25" t="s">
        <v>28</v>
      </c>
      <c r="B19" s="108">
        <f>CPE!B18</f>
        <v>721198</v>
      </c>
    </row>
    <row r="20" spans="1:2" ht="36" customHeight="1" thickBot="1">
      <c r="A20" s="25" t="s">
        <v>29</v>
      </c>
      <c r="B20" s="108">
        <f>CPE!B19</f>
        <v>3219.2799999999997</v>
      </c>
    </row>
    <row r="21" spans="1:2" ht="36" customHeight="1" thickBot="1">
      <c r="A21" s="25" t="s">
        <v>30</v>
      </c>
      <c r="B21" s="108">
        <f>CPE!B20</f>
        <v>0</v>
      </c>
    </row>
    <row r="22" spans="1:2" ht="36" customHeight="1" thickBot="1">
      <c r="A22" s="25" t="s">
        <v>31</v>
      </c>
      <c r="B22" s="108">
        <f>CPE!B21</f>
        <v>0</v>
      </c>
    </row>
    <row r="23" spans="1:2" ht="36" customHeight="1" thickBot="1">
      <c r="A23" s="25" t="s">
        <v>32</v>
      </c>
      <c r="B23" s="108">
        <f>CPE!B22</f>
        <v>4838668</v>
      </c>
    </row>
    <row r="24" spans="1:2" ht="36" customHeight="1" thickBot="1">
      <c r="A24" s="25" t="s">
        <v>33</v>
      </c>
      <c r="B24" s="108">
        <f>CPE!B23</f>
        <v>1738286</v>
      </c>
    </row>
    <row r="25" spans="1:2" ht="36" customHeight="1" thickBot="1">
      <c r="A25" s="25" t="s">
        <v>34</v>
      </c>
      <c r="B25" s="108">
        <f>CPE!B24</f>
        <v>76596</v>
      </c>
    </row>
    <row r="26" spans="1:2" ht="36" customHeight="1" thickBot="1">
      <c r="A26" s="25" t="s">
        <v>35</v>
      </c>
      <c r="B26" s="108">
        <f>CPE!B25</f>
        <v>582416</v>
      </c>
    </row>
    <row r="27" spans="1:2" ht="36" customHeight="1" thickBot="1">
      <c r="A27" s="25" t="s">
        <v>36</v>
      </c>
      <c r="B27" s="108">
        <f>CPE!B26</f>
        <v>34505</v>
      </c>
    </row>
    <row r="28" spans="1:2" ht="36" customHeight="1" thickBot="1">
      <c r="A28" s="25" t="s">
        <v>37</v>
      </c>
      <c r="B28" s="108">
        <f>CPE!B27</f>
        <v>675569</v>
      </c>
    </row>
    <row r="29" spans="1:2" ht="36" customHeight="1" thickBot="1">
      <c r="A29" s="25" t="s">
        <v>38</v>
      </c>
      <c r="B29" s="108">
        <f>CPE!B28</f>
        <v>108055</v>
      </c>
    </row>
    <row r="30" spans="1:2" ht="36" customHeight="1" thickBot="1">
      <c r="A30" s="25" t="s">
        <v>39</v>
      </c>
      <c r="B30" s="108">
        <f>CPE!B29</f>
        <v>106451</v>
      </c>
    </row>
    <row r="31" spans="1:2" ht="36" customHeight="1" thickBot="1">
      <c r="A31" s="25" t="s">
        <v>40</v>
      </c>
      <c r="B31" s="108">
        <f>CPE!B30</f>
        <v>518835</v>
      </c>
    </row>
    <row r="32" spans="1:2" ht="36" customHeight="1" thickBot="1">
      <c r="A32" s="25" t="s">
        <v>41</v>
      </c>
      <c r="B32" s="108">
        <f>CPE!B31</f>
        <v>997955</v>
      </c>
    </row>
    <row r="33" spans="1:2" ht="36" customHeight="1" thickBot="1">
      <c r="A33" s="25" t="s">
        <v>42</v>
      </c>
      <c r="B33" s="108">
        <f>CPE!B32</f>
        <v>590092</v>
      </c>
    </row>
    <row r="34" spans="1:2" ht="36" customHeight="1" thickBot="1">
      <c r="A34" s="25" t="s">
        <v>43</v>
      </c>
      <c r="B34" s="108">
        <f>CPE!B33</f>
        <v>0</v>
      </c>
    </row>
    <row r="35" spans="1:2" ht="36" customHeight="1" thickBot="1">
      <c r="A35" s="25" t="s">
        <v>44</v>
      </c>
      <c r="B35" s="108">
        <f>CPE!B34</f>
        <v>0</v>
      </c>
    </row>
    <row r="36" spans="1:2" ht="36" customHeight="1" thickBot="1">
      <c r="A36" s="25" t="s">
        <v>45</v>
      </c>
      <c r="B36" s="108">
        <f>CPE!B35</f>
        <v>0</v>
      </c>
    </row>
    <row r="37" spans="1:2" ht="36" customHeight="1" thickBot="1">
      <c r="A37" s="25" t="s">
        <v>46</v>
      </c>
      <c r="B37" s="108">
        <f>CPE!B36</f>
        <v>590092</v>
      </c>
    </row>
    <row r="38" spans="1:2" ht="36" customHeight="1" thickBot="1">
      <c r="A38" s="25" t="s">
        <v>47</v>
      </c>
      <c r="B38" s="108">
        <f>CPE!B37</f>
        <v>0</v>
      </c>
    </row>
    <row r="39" spans="1:2" ht="36" customHeight="1" thickBot="1">
      <c r="A39" s="25" t="s">
        <v>48</v>
      </c>
      <c r="B39" s="108">
        <f>CPE!B38</f>
        <v>0</v>
      </c>
    </row>
    <row r="40" spans="1:2" ht="36" customHeight="1" thickBot="1">
      <c r="A40" s="25" t="s">
        <v>49</v>
      </c>
      <c r="B40" s="108">
        <f>CPE!B39</f>
        <v>0</v>
      </c>
    </row>
    <row r="41" spans="1:2" ht="36" customHeight="1" thickBot="1">
      <c r="A41" s="25" t="s">
        <v>50</v>
      </c>
      <c r="B41" s="108">
        <f>CPE!B40</f>
        <v>0</v>
      </c>
    </row>
    <row r="42" spans="1:2" ht="36" customHeight="1" thickBot="1">
      <c r="A42" s="25" t="s">
        <v>51</v>
      </c>
      <c r="B42" s="108">
        <f>CPE!B41</f>
        <v>0</v>
      </c>
    </row>
    <row r="43" spans="1:2" ht="36" customHeight="1" thickBot="1">
      <c r="A43" s="25" t="s">
        <v>52</v>
      </c>
      <c r="B43" s="108">
        <f>CPE!B42</f>
        <v>42731</v>
      </c>
    </row>
    <row r="44" spans="1:2" ht="36" customHeight="1" thickBot="1">
      <c r="A44" s="25" t="s">
        <v>53</v>
      </c>
      <c r="B44" s="108">
        <f>CPE!B43</f>
        <v>42731</v>
      </c>
    </row>
    <row r="45" spans="1:2" ht="36" customHeight="1" thickBot="1">
      <c r="A45" s="25" t="s">
        <v>54</v>
      </c>
      <c r="B45" s="108">
        <f>CPE!B44</f>
        <v>0</v>
      </c>
    </row>
    <row r="46" spans="1:2" ht="36" customHeight="1" thickBot="1">
      <c r="A46" s="25" t="s">
        <v>55</v>
      </c>
      <c r="B46" s="108">
        <f>CPE!B45</f>
        <v>0</v>
      </c>
    </row>
    <row r="47" spans="1:2" ht="36" customHeight="1" thickBot="1">
      <c r="A47" s="25" t="s">
        <v>56</v>
      </c>
      <c r="B47" s="108">
        <f>CPE!B46</f>
        <v>0</v>
      </c>
    </row>
    <row r="48" spans="1:2" ht="36" customHeight="1" thickBot="1">
      <c r="A48" s="25" t="s">
        <v>57</v>
      </c>
      <c r="B48" s="108">
        <f>CPE!B47</f>
        <v>0</v>
      </c>
    </row>
    <row r="49" spans="1:2" ht="36" customHeight="1" thickBot="1">
      <c r="A49" s="25" t="s">
        <v>58</v>
      </c>
      <c r="B49" s="108">
        <f>CPE!B48</f>
        <v>0</v>
      </c>
    </row>
    <row r="50" spans="1:2" ht="36" customHeight="1" thickBot="1">
      <c r="A50" s="25" t="s">
        <v>59</v>
      </c>
      <c r="B50" s="108">
        <f>CPE!B49</f>
        <v>0</v>
      </c>
    </row>
    <row r="51" spans="1:2" ht="36" customHeight="1" thickBot="1">
      <c r="A51" s="25" t="s">
        <v>60</v>
      </c>
      <c r="B51" s="108">
        <f>CPE!B50</f>
        <v>0</v>
      </c>
    </row>
    <row r="52" spans="1:2" ht="36" customHeight="1" thickBot="1">
      <c r="A52" s="25" t="s">
        <v>61</v>
      </c>
      <c r="B52" s="108">
        <f>CPE!B51</f>
        <v>0</v>
      </c>
    </row>
    <row r="53" spans="1:2" ht="36" customHeight="1" thickBot="1">
      <c r="A53" s="25" t="s">
        <v>62</v>
      </c>
      <c r="B53" s="108">
        <f>CPE!B52</f>
        <v>4830222.9000000004</v>
      </c>
    </row>
    <row r="54" spans="1:2" ht="36" customHeight="1" thickBot="1">
      <c r="A54" s="25" t="s">
        <v>100</v>
      </c>
      <c r="B54" s="108">
        <f>CPE!B53</f>
        <v>4830222.9000000004</v>
      </c>
    </row>
    <row r="55" spans="1:2" ht="36" customHeight="1" thickBot="1">
      <c r="A55" s="25" t="s">
        <v>64</v>
      </c>
      <c r="B55" s="108">
        <f>CPE!B54</f>
        <v>0</v>
      </c>
    </row>
    <row r="56" spans="1:2" ht="36" customHeight="1" thickBot="1">
      <c r="A56" s="25" t="s">
        <v>65</v>
      </c>
      <c r="B56" s="108">
        <f>CPE!B55</f>
        <v>0</v>
      </c>
    </row>
    <row r="57" spans="1:2" ht="36" customHeight="1" thickBot="1">
      <c r="A57" s="25" t="s">
        <v>66</v>
      </c>
      <c r="B57" s="108">
        <f>CPE!B56</f>
        <v>0</v>
      </c>
    </row>
    <row r="58" spans="1:2" ht="36" customHeight="1" thickBot="1">
      <c r="A58" s="25" t="s">
        <v>67</v>
      </c>
      <c r="B58" s="108">
        <f>CPE!B57</f>
        <v>0</v>
      </c>
    </row>
    <row r="59" spans="1:2" ht="36" customHeight="1" thickBot="1">
      <c r="A59" s="25" t="s">
        <v>68</v>
      </c>
      <c r="B59" s="108">
        <f>CPE!B58</f>
        <v>0</v>
      </c>
    </row>
    <row r="60" spans="1:2" ht="36" customHeight="1" thickBot="1">
      <c r="A60" s="25" t="s">
        <v>69</v>
      </c>
      <c r="B60" s="108">
        <f>CPE!B59</f>
        <v>0</v>
      </c>
    </row>
    <row r="61" spans="1:2" ht="36" customHeight="1" thickBot="1">
      <c r="A61" s="25" t="s">
        <v>70</v>
      </c>
      <c r="B61" s="108">
        <f>CPE!B60</f>
        <v>0</v>
      </c>
    </row>
    <row r="62" spans="1:2" ht="36" customHeight="1" thickBot="1">
      <c r="A62" s="25" t="s">
        <v>71</v>
      </c>
      <c r="B62" s="108">
        <f>CPE!B61</f>
        <v>0</v>
      </c>
    </row>
    <row r="63" spans="1:2" ht="36" customHeight="1" thickBot="1">
      <c r="A63" s="25" t="s">
        <v>72</v>
      </c>
      <c r="B63" s="108">
        <f>CPE!B62</f>
        <v>0</v>
      </c>
    </row>
    <row r="64" spans="1:2" ht="36" customHeight="1" thickBot="1">
      <c r="A64" s="25" t="s">
        <v>73</v>
      </c>
      <c r="B64" s="108">
        <f>CPE!B63</f>
        <v>0</v>
      </c>
    </row>
    <row r="65" spans="1:2" ht="36" customHeight="1" thickBot="1">
      <c r="A65" s="25" t="s">
        <v>74</v>
      </c>
      <c r="B65" s="108">
        <f>CPE!B64</f>
        <v>305871.09999999998</v>
      </c>
    </row>
    <row r="66" spans="1:2" ht="36" customHeight="1" thickBot="1">
      <c r="A66" s="25" t="s">
        <v>75</v>
      </c>
      <c r="B66" s="108">
        <f>CPE!B65</f>
        <v>0</v>
      </c>
    </row>
    <row r="67" spans="1:2" ht="36" customHeight="1" thickBot="1">
      <c r="A67" s="25" t="s">
        <v>76</v>
      </c>
      <c r="B67" s="108">
        <f>CPE!B66</f>
        <v>0</v>
      </c>
    </row>
    <row r="68" spans="1:2" ht="36" customHeight="1" thickBot="1">
      <c r="A68" s="25" t="s">
        <v>77</v>
      </c>
      <c r="B68" s="108">
        <f>CPE!B67</f>
        <v>305871.09999999998</v>
      </c>
    </row>
    <row r="69" spans="1:2" ht="36" customHeight="1" thickBot="1">
      <c r="A69" s="25" t="s">
        <v>78</v>
      </c>
      <c r="B69" s="108">
        <f>CPE!B68</f>
        <v>740558.72</v>
      </c>
    </row>
    <row r="70" spans="1:2" ht="36" customHeight="1" thickBot="1">
      <c r="A70" s="25" t="s">
        <v>79</v>
      </c>
      <c r="B70" s="108">
        <f>CPE!B69</f>
        <v>673170.72</v>
      </c>
    </row>
    <row r="71" spans="1:2" ht="36" customHeight="1" thickBot="1">
      <c r="A71" s="25" t="s">
        <v>80</v>
      </c>
      <c r="B71" s="108">
        <f>CPE!B70</f>
        <v>67388</v>
      </c>
    </row>
    <row r="72" spans="1:2" ht="36" customHeight="1" thickBot="1">
      <c r="A72" s="25" t="s">
        <v>81</v>
      </c>
      <c r="B72" s="108">
        <f>CPE!B71</f>
        <v>0</v>
      </c>
    </row>
    <row r="73" spans="1:2" ht="36" customHeight="1" thickBot="1">
      <c r="A73" s="25" t="s">
        <v>82</v>
      </c>
      <c r="B73" s="108">
        <f>CPE!B72</f>
        <v>0</v>
      </c>
    </row>
    <row r="74" spans="1:2" ht="36" customHeight="1" thickBot="1">
      <c r="A74" s="25" t="s">
        <v>83</v>
      </c>
      <c r="B74" s="108">
        <f>CPE!B73</f>
        <v>0</v>
      </c>
    </row>
    <row r="75" spans="1:2" ht="36" customHeight="1" thickBot="1">
      <c r="A75" s="25" t="s">
        <v>84</v>
      </c>
      <c r="B75" s="108">
        <f>CPE!B74</f>
        <v>0</v>
      </c>
    </row>
    <row r="76" spans="1:2" ht="36" customHeight="1" thickBot="1">
      <c r="A76" s="25" t="s">
        <v>85</v>
      </c>
      <c r="B76" s="108">
        <f>CPE!B75</f>
        <v>0</v>
      </c>
    </row>
    <row r="77" spans="1:2" ht="36" customHeight="1"/>
  </sheetData>
  <mergeCells count="2">
    <mergeCell ref="A1:B1"/>
    <mergeCell ref="A2:B2"/>
  </mergeCells>
  <pageMargins left="0.70866141732283472" right="0.70866141732283472" top="0.74803149606299213" bottom="0.74803149606299213" header="0.31496062992125984" footer="0.31496062992125984"/>
  <pageSetup orientation="portrait" verticalDpi="0" r:id="rId1"/>
  <headerFooter>
    <oddFooter>&amp;C&amp;P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38"/>
  <sheetViews>
    <sheetView view="pageBreakPreview" topLeftCell="A25" zoomScale="110" zoomScaleNormal="100" zoomScaleSheetLayoutView="110" workbookViewId="0">
      <selection activeCell="B23" sqref="B23"/>
    </sheetView>
  </sheetViews>
  <sheetFormatPr baseColWidth="10" defaultRowHeight="15.75"/>
  <cols>
    <col min="1" max="1" width="61.85546875" style="5" customWidth="1"/>
    <col min="2" max="2" width="28" style="5" customWidth="1"/>
    <col min="3" max="16384" width="11.42578125" style="5"/>
  </cols>
  <sheetData>
    <row r="1" spans="1:2" ht="18.75" customHeight="1" thickBot="1">
      <c r="A1" s="249" t="s">
        <v>229</v>
      </c>
      <c r="B1" s="250"/>
    </row>
    <row r="2" spans="1:2" ht="30.75" customHeight="1" thickBot="1">
      <c r="A2" s="245" t="s">
        <v>240</v>
      </c>
      <c r="B2" s="246"/>
    </row>
    <row r="3" spans="1:2" ht="16.5" thickBot="1">
      <c r="A3" s="71" t="s">
        <v>108</v>
      </c>
      <c r="B3" s="72" t="s">
        <v>185</v>
      </c>
    </row>
    <row r="4" spans="1:2" ht="16.5" thickBot="1">
      <c r="A4" s="71" t="s">
        <v>13</v>
      </c>
      <c r="B4" s="251" t="s">
        <v>210</v>
      </c>
    </row>
    <row r="5" spans="1:2" ht="16.5" thickBot="1">
      <c r="A5" s="25" t="s">
        <v>113</v>
      </c>
      <c r="B5" s="252"/>
    </row>
    <row r="6" spans="1:2" ht="16.5" thickBot="1">
      <c r="A6" s="25" t="s">
        <v>114</v>
      </c>
      <c r="B6" s="252"/>
    </row>
    <row r="7" spans="1:2" ht="16.5" thickBot="1">
      <c r="A7" s="25" t="s">
        <v>115</v>
      </c>
      <c r="B7" s="252"/>
    </row>
    <row r="8" spans="1:2" ht="33.75" customHeight="1" thickBot="1">
      <c r="A8" s="25" t="s">
        <v>190</v>
      </c>
      <c r="B8" s="252"/>
    </row>
    <row r="9" spans="1:2" ht="38.25" customHeight="1" thickBot="1">
      <c r="A9" s="25" t="s">
        <v>191</v>
      </c>
      <c r="B9" s="253"/>
    </row>
    <row r="10" spans="1:2" ht="16.5" thickBot="1"/>
    <row r="11" spans="1:2" ht="21.75" customHeight="1" thickBot="1">
      <c r="A11" s="249" t="s">
        <v>229</v>
      </c>
      <c r="B11" s="250"/>
    </row>
    <row r="12" spans="1:2" ht="30.75" customHeight="1" thickBot="1">
      <c r="A12" s="245" t="s">
        <v>240</v>
      </c>
      <c r="B12" s="246"/>
    </row>
    <row r="13" spans="1:2" ht="16.5" thickBot="1">
      <c r="A13" s="71" t="s">
        <v>108</v>
      </c>
      <c r="B13" s="72" t="s">
        <v>185</v>
      </c>
    </row>
    <row r="14" spans="1:2" ht="16.5" thickBot="1">
      <c r="A14" s="71" t="s">
        <v>13</v>
      </c>
      <c r="B14" s="251" t="s">
        <v>210</v>
      </c>
    </row>
    <row r="15" spans="1:2" ht="16.5" thickBot="1">
      <c r="A15" s="25" t="s">
        <v>192</v>
      </c>
      <c r="B15" s="252"/>
    </row>
    <row r="16" spans="1:2" ht="24" customHeight="1" thickBot="1">
      <c r="A16" s="25" t="s">
        <v>191</v>
      </c>
      <c r="B16" s="252"/>
    </row>
    <row r="17" spans="1:2" ht="16.5" thickBot="1">
      <c r="A17" s="25"/>
      <c r="B17" s="253"/>
    </row>
    <row r="18" spans="1:2" ht="16.5" thickBot="1"/>
    <row r="19" spans="1:2" ht="16.5" thickBot="1">
      <c r="A19" s="249" t="s">
        <v>229</v>
      </c>
      <c r="B19" s="250"/>
    </row>
    <row r="20" spans="1:2" ht="17.25" customHeight="1" thickBot="1">
      <c r="A20" s="245" t="s">
        <v>240</v>
      </c>
      <c r="B20" s="246"/>
    </row>
    <row r="21" spans="1:2" ht="16.5" thickBot="1">
      <c r="A21" s="71" t="s">
        <v>193</v>
      </c>
      <c r="B21" s="72" t="s">
        <v>185</v>
      </c>
    </row>
    <row r="22" spans="1:2" ht="16.5" thickBot="1">
      <c r="A22" s="71" t="s">
        <v>13</v>
      </c>
      <c r="B22" s="115">
        <f>+B23+B24+B26</f>
        <v>17546101</v>
      </c>
    </row>
    <row r="23" spans="1:2" ht="24.75" customHeight="1" thickBot="1">
      <c r="A23" s="25" t="s">
        <v>126</v>
      </c>
      <c r="B23" s="86">
        <v>10216348.1</v>
      </c>
    </row>
    <row r="24" spans="1:2" ht="24.75" customHeight="1" thickBot="1">
      <c r="A24" s="25" t="s">
        <v>134</v>
      </c>
      <c r="B24" s="86">
        <v>6498552.9000000004</v>
      </c>
    </row>
    <row r="25" spans="1:2" ht="24.75" customHeight="1" thickBot="1">
      <c r="A25" s="25" t="s">
        <v>142</v>
      </c>
      <c r="B25" s="86"/>
    </row>
    <row r="26" spans="1:2" ht="24.75" customHeight="1" thickBot="1">
      <c r="A26" s="25" t="s">
        <v>194</v>
      </c>
      <c r="B26" s="86">
        <v>831200</v>
      </c>
    </row>
    <row r="27" spans="1:2" ht="24.75" customHeight="1" thickBot="1"/>
    <row r="28" spans="1:2" ht="24.75" customHeight="1" thickBot="1">
      <c r="A28" s="243" t="s">
        <v>229</v>
      </c>
      <c r="B28" s="244"/>
    </row>
    <row r="29" spans="1:2" ht="24.75" customHeight="1" thickBot="1">
      <c r="A29" s="245" t="s">
        <v>240</v>
      </c>
      <c r="B29" s="246"/>
    </row>
    <row r="30" spans="1:2" ht="24.75" customHeight="1" thickBot="1">
      <c r="A30" s="71" t="s">
        <v>195</v>
      </c>
      <c r="B30" s="72" t="s">
        <v>185</v>
      </c>
    </row>
    <row r="31" spans="1:2" ht="24.75" customHeight="1" thickBot="1">
      <c r="A31" s="71" t="s">
        <v>13</v>
      </c>
      <c r="B31" s="115">
        <f>SUM(B32:B34)</f>
        <v>17546101</v>
      </c>
    </row>
    <row r="32" spans="1:2" ht="24.75" customHeight="1" thickBot="1">
      <c r="A32" s="25" t="s">
        <v>105</v>
      </c>
      <c r="B32" s="86">
        <f>+'EAEPE CE '!B8</f>
        <v>11932588.380000001</v>
      </c>
    </row>
    <row r="33" spans="1:2" ht="24.75" customHeight="1" thickBot="1">
      <c r="A33" s="25" t="s">
        <v>106</v>
      </c>
      <c r="B33" s="86">
        <f>+'EAEPE CE '!B9</f>
        <v>4872953.9000000004</v>
      </c>
    </row>
    <row r="34" spans="1:2" ht="35.25" customHeight="1" thickBot="1">
      <c r="A34" s="25" t="s">
        <v>196</v>
      </c>
      <c r="B34" s="86">
        <f>+'EAEPE CE '!B10</f>
        <v>740558.72</v>
      </c>
    </row>
    <row r="35" spans="1:2" ht="24.75" customHeight="1">
      <c r="A35" s="21" t="s">
        <v>47</v>
      </c>
      <c r="B35" s="247">
        <v>0</v>
      </c>
    </row>
    <row r="36" spans="1:2" ht="24.75" customHeight="1" thickBot="1">
      <c r="A36" s="73" t="s">
        <v>197</v>
      </c>
      <c r="B36" s="248"/>
    </row>
    <row r="37" spans="1:2" ht="24.75" customHeight="1">
      <c r="A37" s="21" t="s">
        <v>75</v>
      </c>
      <c r="B37" s="247">
        <v>0</v>
      </c>
    </row>
    <row r="38" spans="1:2" ht="24.75" customHeight="1" thickBot="1">
      <c r="A38" s="73" t="s">
        <v>197</v>
      </c>
      <c r="B38" s="248"/>
    </row>
  </sheetData>
  <mergeCells count="12">
    <mergeCell ref="B35:B36"/>
    <mergeCell ref="B37:B38"/>
    <mergeCell ref="A20:B20"/>
    <mergeCell ref="A1:B1"/>
    <mergeCell ref="A2:B2"/>
    <mergeCell ref="A11:B11"/>
    <mergeCell ref="A12:B12"/>
    <mergeCell ref="A19:B19"/>
    <mergeCell ref="A28:B28"/>
    <mergeCell ref="A29:B29"/>
    <mergeCell ref="B4:B9"/>
    <mergeCell ref="B14:B17"/>
  </mergeCells>
  <pageMargins left="0.70866141732283472" right="0.70866141732283472" top="0.74803149606299213" bottom="0.74803149606299213" header="0.31496062992125984" footer="0.31496062992125984"/>
  <pageSetup orientation="portrait" verticalDpi="0" r:id="rId1"/>
  <headerFooter>
    <oddFooter>&amp;C&amp;P</oddFooter>
  </headerFooter>
  <rowBreaks count="1" manualBreakCount="1">
    <brk id="27" max="16383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33"/>
  <sheetViews>
    <sheetView tabSelected="1" topLeftCell="A7" zoomScaleNormal="100" workbookViewId="0">
      <selection activeCell="F31" sqref="F31"/>
    </sheetView>
  </sheetViews>
  <sheetFormatPr baseColWidth="10" defaultRowHeight="15"/>
  <cols>
    <col min="1" max="1" width="36.85546875" style="3" customWidth="1"/>
    <col min="2" max="2" width="17.5703125" style="3" customWidth="1"/>
    <col min="3" max="4" width="22.85546875" style="3" customWidth="1"/>
    <col min="5" max="16384" width="11.42578125" style="3"/>
  </cols>
  <sheetData>
    <row r="1" spans="1:4" ht="15.75" thickBot="1">
      <c r="A1" s="257" t="s">
        <v>229</v>
      </c>
      <c r="B1" s="258"/>
      <c r="C1" s="258"/>
      <c r="D1" s="258"/>
    </row>
    <row r="2" spans="1:4" ht="29.25" customHeight="1" thickBot="1">
      <c r="A2" s="259" t="s">
        <v>240</v>
      </c>
      <c r="B2" s="260"/>
      <c r="C2" s="260"/>
      <c r="D2" s="261"/>
    </row>
    <row r="3" spans="1:4" ht="15.75" thickBot="1">
      <c r="A3" s="259" t="s">
        <v>198</v>
      </c>
      <c r="B3" s="260"/>
      <c r="C3" s="260"/>
      <c r="D3" s="261"/>
    </row>
    <row r="4" spans="1:4" ht="28.5" customHeight="1" thickBot="1">
      <c r="A4" s="254"/>
      <c r="B4" s="255"/>
      <c r="C4" s="255"/>
      <c r="D4" s="256"/>
    </row>
    <row r="5" spans="1:4" ht="28.5" customHeight="1" thickBot="1">
      <c r="A5" s="259" t="s">
        <v>210</v>
      </c>
      <c r="B5" s="264"/>
      <c r="C5" s="264"/>
      <c r="D5" s="265"/>
    </row>
    <row r="6" spans="1:4" ht="28.5" customHeight="1" thickBot="1">
      <c r="A6" s="254"/>
      <c r="B6" s="255"/>
      <c r="C6" s="255"/>
      <c r="D6" s="256"/>
    </row>
    <row r="7" spans="1:4" ht="28.5" customHeight="1" thickBot="1">
      <c r="A7" s="254"/>
      <c r="B7" s="255"/>
      <c r="C7" s="255"/>
      <c r="D7" s="256"/>
    </row>
    <row r="9" spans="1:4" ht="15.75" thickBot="1">
      <c r="A9" s="257" t="s">
        <v>229</v>
      </c>
      <c r="B9" s="258"/>
      <c r="C9" s="258"/>
      <c r="D9" s="258"/>
    </row>
    <row r="10" spans="1:4" ht="15.75" customHeight="1" thickBot="1">
      <c r="A10" s="259" t="s">
        <v>240</v>
      </c>
      <c r="B10" s="260"/>
      <c r="C10" s="260"/>
      <c r="D10" s="261"/>
    </row>
    <row r="11" spans="1:4" ht="15.75" thickBot="1">
      <c r="A11" s="259" t="s">
        <v>199</v>
      </c>
      <c r="B11" s="260"/>
      <c r="C11" s="260"/>
      <c r="D11" s="261"/>
    </row>
    <row r="12" spans="1:4" ht="30.75" customHeight="1" thickBot="1">
      <c r="A12" s="254" t="s">
        <v>212</v>
      </c>
      <c r="B12" s="255"/>
      <c r="C12" s="255"/>
      <c r="D12" s="256"/>
    </row>
    <row r="13" spans="1:4" ht="30.75" customHeight="1" thickBot="1">
      <c r="A13" s="254" t="s">
        <v>213</v>
      </c>
      <c r="B13" s="255"/>
      <c r="C13" s="255"/>
      <c r="D13" s="256"/>
    </row>
    <row r="14" spans="1:4" ht="30.75" customHeight="1" thickBot="1">
      <c r="A14" s="254" t="s">
        <v>214</v>
      </c>
      <c r="B14" s="255"/>
      <c r="C14" s="255"/>
      <c r="D14" s="256"/>
    </row>
    <row r="15" spans="1:4" ht="30.75" customHeight="1" thickBot="1">
      <c r="A15" s="254" t="s">
        <v>215</v>
      </c>
      <c r="B15" s="255"/>
      <c r="C15" s="255"/>
      <c r="D15" s="256"/>
    </row>
    <row r="17" spans="1:4" ht="15.75" thickBot="1">
      <c r="A17" s="257" t="s">
        <v>229</v>
      </c>
      <c r="B17" s="258"/>
      <c r="C17" s="258"/>
      <c r="D17" s="258"/>
    </row>
    <row r="18" spans="1:4" ht="15.75" thickBot="1">
      <c r="A18" s="259" t="s">
        <v>240</v>
      </c>
      <c r="B18" s="260"/>
      <c r="C18" s="260"/>
      <c r="D18" s="261"/>
    </row>
    <row r="19" spans="1:4" ht="15.75" thickBot="1">
      <c r="A19" s="262" t="s">
        <v>200</v>
      </c>
      <c r="B19" s="262" t="s">
        <v>201</v>
      </c>
      <c r="C19" s="259" t="s">
        <v>202</v>
      </c>
      <c r="D19" s="261"/>
    </row>
    <row r="20" spans="1:4" ht="15.75" thickBot="1">
      <c r="A20" s="263"/>
      <c r="B20" s="263"/>
      <c r="C20" s="70" t="s">
        <v>203</v>
      </c>
      <c r="D20" s="69" t="s">
        <v>204</v>
      </c>
    </row>
    <row r="21" spans="1:4" ht="15.75" thickBot="1">
      <c r="A21" s="4" t="s">
        <v>216</v>
      </c>
      <c r="B21" s="70">
        <v>1</v>
      </c>
      <c r="C21" s="109">
        <v>20000</v>
      </c>
      <c r="D21" s="109">
        <v>25000</v>
      </c>
    </row>
    <row r="22" spans="1:4" ht="15.75" thickBot="1">
      <c r="A22" s="4" t="s">
        <v>217</v>
      </c>
      <c r="B22" s="70">
        <v>9</v>
      </c>
      <c r="C22" s="109">
        <v>9000</v>
      </c>
      <c r="D22" s="109">
        <v>11000</v>
      </c>
    </row>
    <row r="23" spans="1:4" ht="15.75" thickBot="1">
      <c r="A23" s="4" t="s">
        <v>218</v>
      </c>
      <c r="B23" s="70">
        <v>1</v>
      </c>
      <c r="C23" s="109">
        <v>10000</v>
      </c>
      <c r="D23" s="109">
        <v>11000</v>
      </c>
    </row>
    <row r="24" spans="1:4" ht="15.75" thickBot="1">
      <c r="A24" s="4" t="s">
        <v>219</v>
      </c>
      <c r="B24" s="70">
        <v>4</v>
      </c>
      <c r="C24" s="109">
        <v>10000</v>
      </c>
      <c r="D24" s="109">
        <v>11000</v>
      </c>
    </row>
    <row r="25" spans="1:4" ht="15.75" thickBot="1">
      <c r="A25" s="4" t="s">
        <v>220</v>
      </c>
      <c r="B25" s="70">
        <v>1</v>
      </c>
      <c r="C25" s="109">
        <v>10000</v>
      </c>
      <c r="D25" s="109">
        <v>11000</v>
      </c>
    </row>
    <row r="26" spans="1:4" ht="15.75" thickBot="1">
      <c r="A26" s="4" t="s">
        <v>221</v>
      </c>
      <c r="B26" s="70">
        <v>3</v>
      </c>
      <c r="C26" s="109">
        <v>6000</v>
      </c>
      <c r="D26" s="109">
        <v>9000</v>
      </c>
    </row>
    <row r="27" spans="1:4" ht="15.75" thickBot="1">
      <c r="A27" s="4" t="s">
        <v>222</v>
      </c>
      <c r="B27" s="70">
        <v>3</v>
      </c>
      <c r="C27" s="109">
        <v>6000</v>
      </c>
      <c r="D27" s="109">
        <v>7000</v>
      </c>
    </row>
    <row r="28" spans="1:4" ht="15.75" thickBot="1">
      <c r="A28" s="4" t="s">
        <v>223</v>
      </c>
      <c r="B28" s="70">
        <v>5</v>
      </c>
      <c r="C28" s="109">
        <v>7000</v>
      </c>
      <c r="D28" s="109">
        <v>12000</v>
      </c>
    </row>
    <row r="29" spans="1:4" ht="15.75" thickBot="1">
      <c r="A29" s="4" t="s">
        <v>224</v>
      </c>
      <c r="B29" s="70">
        <v>4</v>
      </c>
      <c r="C29" s="109">
        <v>2000</v>
      </c>
      <c r="D29" s="109">
        <v>7000</v>
      </c>
    </row>
    <row r="30" spans="1:4" ht="15.75" thickBot="1">
      <c r="A30" s="4" t="s">
        <v>225</v>
      </c>
      <c r="B30" s="70">
        <v>8</v>
      </c>
      <c r="C30" s="109">
        <v>2000</v>
      </c>
      <c r="D30" s="109">
        <v>5000</v>
      </c>
    </row>
    <row r="31" spans="1:4" ht="15.75" thickBot="1">
      <c r="A31" s="4" t="s">
        <v>226</v>
      </c>
      <c r="B31" s="70">
        <v>16</v>
      </c>
      <c r="C31" s="109">
        <v>4000</v>
      </c>
      <c r="D31" s="109">
        <v>6000</v>
      </c>
    </row>
    <row r="32" spans="1:4" ht="15.75" thickBot="1">
      <c r="A32" s="4" t="s">
        <v>243</v>
      </c>
      <c r="B32" s="70">
        <v>6</v>
      </c>
      <c r="C32" s="109">
        <v>1000</v>
      </c>
      <c r="D32" s="109">
        <v>11000</v>
      </c>
    </row>
    <row r="33" spans="1:4" ht="15.75" thickBot="1">
      <c r="A33" s="4" t="s">
        <v>244</v>
      </c>
      <c r="B33" s="70">
        <v>7</v>
      </c>
      <c r="C33" s="109">
        <v>1000</v>
      </c>
      <c r="D33" s="109">
        <v>11000</v>
      </c>
    </row>
  </sheetData>
  <mergeCells count="19">
    <mergeCell ref="A1:D1"/>
    <mergeCell ref="A2:D2"/>
    <mergeCell ref="A3:D3"/>
    <mergeCell ref="A4:D4"/>
    <mergeCell ref="A5:D5"/>
    <mergeCell ref="A17:D17"/>
    <mergeCell ref="A18:D18"/>
    <mergeCell ref="A19:A20"/>
    <mergeCell ref="B19:B20"/>
    <mergeCell ref="C19:D19"/>
    <mergeCell ref="A13:D13"/>
    <mergeCell ref="A14:D14"/>
    <mergeCell ref="A15:D15"/>
    <mergeCell ref="A6:D6"/>
    <mergeCell ref="A7:D7"/>
    <mergeCell ref="A9:D9"/>
    <mergeCell ref="A10:D10"/>
    <mergeCell ref="A11:D11"/>
    <mergeCell ref="A12:D12"/>
  </mergeCells>
  <pageMargins left="0.70866141732283472" right="0.70866141732283472" top="0.74803149606299213" bottom="0.74803149606299213" header="0.31496062992125984" footer="0.31496062992125984"/>
  <pageSetup scale="90" orientation="portrait" verticalDpi="0" r:id="rId1"/>
  <headerFooter>
    <oddFooter>&amp;C&amp;P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4"/>
  <sheetViews>
    <sheetView view="pageBreakPreview" zoomScale="60" zoomScaleNormal="100" workbookViewId="0">
      <selection activeCell="A3" sqref="A3:H3"/>
    </sheetView>
  </sheetViews>
  <sheetFormatPr baseColWidth="10" defaultRowHeight="15.75"/>
  <cols>
    <col min="1" max="1" width="3" style="5" customWidth="1"/>
    <col min="2" max="2" width="41.42578125" style="5" customWidth="1"/>
    <col min="3" max="3" width="28.85546875" style="5" customWidth="1"/>
    <col min="4" max="8" width="22.140625" style="5" customWidth="1"/>
    <col min="9" max="16384" width="11.42578125" style="5"/>
  </cols>
  <sheetData>
    <row r="1" spans="1:8" ht="19.5" customHeight="1">
      <c r="A1" s="128" t="s">
        <v>205</v>
      </c>
      <c r="B1" s="129"/>
      <c r="C1" s="129"/>
      <c r="D1" s="129"/>
      <c r="E1" s="129"/>
      <c r="F1" s="129"/>
      <c r="G1" s="129"/>
      <c r="H1" s="130"/>
    </row>
    <row r="2" spans="1:8" ht="19.5" customHeight="1">
      <c r="A2" s="131" t="s">
        <v>86</v>
      </c>
      <c r="B2" s="132"/>
      <c r="C2" s="132"/>
      <c r="D2" s="132"/>
      <c r="E2" s="132"/>
      <c r="F2" s="132"/>
      <c r="G2" s="132"/>
      <c r="H2" s="133"/>
    </row>
    <row r="3" spans="1:8" ht="19.5" customHeight="1">
      <c r="A3" s="131" t="s">
        <v>87</v>
      </c>
      <c r="B3" s="132"/>
      <c r="C3" s="132"/>
      <c r="D3" s="132"/>
      <c r="E3" s="132"/>
      <c r="F3" s="132"/>
      <c r="G3" s="132"/>
      <c r="H3" s="133"/>
    </row>
    <row r="4" spans="1:8" ht="24.75" customHeight="1" thickBot="1">
      <c r="A4" s="134" t="s">
        <v>231</v>
      </c>
      <c r="B4" s="135"/>
      <c r="C4" s="135"/>
      <c r="D4" s="135"/>
      <c r="E4" s="135"/>
      <c r="F4" s="135"/>
      <c r="G4" s="135"/>
      <c r="H4" s="136"/>
    </row>
    <row r="5" spans="1:8" ht="27" customHeight="1" thickBot="1">
      <c r="A5" s="137" t="s">
        <v>88</v>
      </c>
      <c r="B5" s="138"/>
      <c r="C5" s="143" t="s">
        <v>89</v>
      </c>
      <c r="D5" s="144"/>
      <c r="E5" s="144"/>
      <c r="F5" s="144"/>
      <c r="G5" s="145"/>
      <c r="H5" s="146" t="s">
        <v>90</v>
      </c>
    </row>
    <row r="6" spans="1:8" ht="39.75" customHeight="1" thickBot="1">
      <c r="A6" s="139"/>
      <c r="B6" s="140"/>
      <c r="C6" s="6" t="s">
        <v>91</v>
      </c>
      <c r="D6" s="6" t="s">
        <v>92</v>
      </c>
      <c r="E6" s="6" t="s">
        <v>93</v>
      </c>
      <c r="F6" s="6" t="s">
        <v>94</v>
      </c>
      <c r="G6" s="6" t="s">
        <v>95</v>
      </c>
      <c r="H6" s="147"/>
    </row>
    <row r="7" spans="1:8" ht="32.25" customHeight="1" thickBot="1">
      <c r="A7" s="141"/>
      <c r="B7" s="142"/>
      <c r="C7" s="6">
        <v>1</v>
      </c>
      <c r="D7" s="6">
        <v>2</v>
      </c>
      <c r="E7" s="6" t="s">
        <v>96</v>
      </c>
      <c r="F7" s="6">
        <v>4</v>
      </c>
      <c r="G7" s="6">
        <v>5</v>
      </c>
      <c r="H7" s="6" t="s">
        <v>97</v>
      </c>
    </row>
    <row r="8" spans="1:8" s="18" customFormat="1" ht="54" customHeight="1">
      <c r="A8" s="126" t="s">
        <v>14</v>
      </c>
      <c r="B8" s="127"/>
      <c r="C8" s="87">
        <f>CPE!B4</f>
        <v>4816450</v>
      </c>
      <c r="D8" s="22"/>
      <c r="E8" s="85">
        <f>+C8+D8</f>
        <v>4816450</v>
      </c>
      <c r="F8" s="22"/>
      <c r="G8" s="22"/>
      <c r="H8" s="22"/>
    </row>
    <row r="9" spans="1:8" ht="54" customHeight="1">
      <c r="A9" s="19"/>
      <c r="B9" s="20" t="s">
        <v>15</v>
      </c>
      <c r="C9" s="88">
        <f>CPE!B5</f>
        <v>4534130</v>
      </c>
      <c r="D9" s="22"/>
      <c r="E9" s="85">
        <f t="shared" ref="E9:E72" si="0">+C9+D9</f>
        <v>4534130</v>
      </c>
      <c r="F9" s="22"/>
      <c r="G9" s="22"/>
      <c r="H9" s="22"/>
    </row>
    <row r="10" spans="1:8" ht="54" customHeight="1">
      <c r="A10" s="19"/>
      <c r="B10" s="20" t="s">
        <v>16</v>
      </c>
      <c r="C10" s="88">
        <f>CPE!B6</f>
        <v>0</v>
      </c>
      <c r="D10" s="22"/>
      <c r="E10" s="85">
        <f t="shared" si="0"/>
        <v>0</v>
      </c>
      <c r="F10" s="22"/>
      <c r="G10" s="22"/>
      <c r="H10" s="22"/>
    </row>
    <row r="11" spans="1:8" ht="54" customHeight="1">
      <c r="A11" s="19"/>
      <c r="B11" s="20" t="s">
        <v>17</v>
      </c>
      <c r="C11" s="88">
        <f>CPE!B7</f>
        <v>256320</v>
      </c>
      <c r="D11" s="22"/>
      <c r="E11" s="85">
        <f t="shared" si="0"/>
        <v>256320</v>
      </c>
      <c r="F11" s="22"/>
      <c r="G11" s="22"/>
      <c r="H11" s="22"/>
    </row>
    <row r="12" spans="1:8" ht="54" customHeight="1">
      <c r="A12" s="19"/>
      <c r="B12" s="20" t="s">
        <v>18</v>
      </c>
      <c r="C12" s="88">
        <f>CPE!B8</f>
        <v>0</v>
      </c>
      <c r="D12" s="22"/>
      <c r="E12" s="85">
        <f t="shared" si="0"/>
        <v>0</v>
      </c>
      <c r="F12" s="22"/>
      <c r="G12" s="22"/>
      <c r="H12" s="22"/>
    </row>
    <row r="13" spans="1:8" ht="54" customHeight="1">
      <c r="A13" s="19"/>
      <c r="B13" s="20" t="s">
        <v>19</v>
      </c>
      <c r="C13" s="88">
        <f>CPE!B9</f>
        <v>26000</v>
      </c>
      <c r="D13" s="22"/>
      <c r="E13" s="85">
        <f t="shared" si="0"/>
        <v>26000</v>
      </c>
      <c r="F13" s="22"/>
      <c r="G13" s="22"/>
      <c r="H13" s="22"/>
    </row>
    <row r="14" spans="1:8" ht="54" customHeight="1">
      <c r="A14" s="19"/>
      <c r="B14" s="20" t="s">
        <v>20</v>
      </c>
      <c r="C14" s="88">
        <f>CPE!B10</f>
        <v>0</v>
      </c>
      <c r="D14" s="22"/>
      <c r="E14" s="85">
        <f t="shared" si="0"/>
        <v>0</v>
      </c>
      <c r="F14" s="22"/>
      <c r="G14" s="22"/>
      <c r="H14" s="22"/>
    </row>
    <row r="15" spans="1:8" ht="54" customHeight="1">
      <c r="A15" s="19"/>
      <c r="B15" s="20" t="s">
        <v>21</v>
      </c>
      <c r="C15" s="88">
        <f>CPE!B11</f>
        <v>0</v>
      </c>
      <c r="D15" s="22"/>
      <c r="E15" s="85">
        <f t="shared" si="0"/>
        <v>0</v>
      </c>
      <c r="F15" s="22"/>
      <c r="G15" s="22"/>
      <c r="H15" s="22"/>
    </row>
    <row r="16" spans="1:8" s="18" customFormat="1" ht="54" customHeight="1">
      <c r="A16" s="124" t="s">
        <v>22</v>
      </c>
      <c r="B16" s="125"/>
      <c r="C16" s="88">
        <f>CPE!B12</f>
        <v>1381507.28</v>
      </c>
      <c r="D16" s="22"/>
      <c r="E16" s="85">
        <f t="shared" si="0"/>
        <v>1381507.28</v>
      </c>
      <c r="F16" s="22"/>
      <c r="G16" s="22"/>
      <c r="H16" s="22"/>
    </row>
    <row r="17" spans="1:8" ht="54" customHeight="1">
      <c r="A17" s="19"/>
      <c r="B17" s="20" t="s">
        <v>23</v>
      </c>
      <c r="C17" s="88">
        <f>CPE!B13</f>
        <v>375833</v>
      </c>
      <c r="D17" s="22"/>
      <c r="E17" s="85">
        <f t="shared" si="0"/>
        <v>375833</v>
      </c>
      <c r="F17" s="22"/>
      <c r="G17" s="22"/>
      <c r="H17" s="22"/>
    </row>
    <row r="18" spans="1:8" ht="54" customHeight="1">
      <c r="A18" s="19"/>
      <c r="B18" s="20" t="s">
        <v>24</v>
      </c>
      <c r="C18" s="88">
        <f>CPE!B14</f>
        <v>79293</v>
      </c>
      <c r="D18" s="22"/>
      <c r="E18" s="85">
        <f t="shared" si="0"/>
        <v>79293</v>
      </c>
      <c r="F18" s="22"/>
      <c r="G18" s="22"/>
      <c r="H18" s="22"/>
    </row>
    <row r="19" spans="1:8" ht="54" customHeight="1">
      <c r="A19" s="19"/>
      <c r="B19" s="20" t="s">
        <v>25</v>
      </c>
      <c r="C19" s="88">
        <f>CPE!B15</f>
        <v>0</v>
      </c>
      <c r="D19" s="22"/>
      <c r="E19" s="85">
        <f t="shared" si="0"/>
        <v>0</v>
      </c>
      <c r="F19" s="22"/>
      <c r="G19" s="22"/>
      <c r="H19" s="22"/>
    </row>
    <row r="20" spans="1:8" ht="54" customHeight="1">
      <c r="A20" s="19"/>
      <c r="B20" s="20" t="s">
        <v>26</v>
      </c>
      <c r="C20" s="88">
        <f>CPE!B16</f>
        <v>187200</v>
      </c>
      <c r="D20" s="22"/>
      <c r="E20" s="85">
        <f t="shared" si="0"/>
        <v>187200</v>
      </c>
      <c r="F20" s="22"/>
      <c r="G20" s="22"/>
      <c r="H20" s="22"/>
    </row>
    <row r="21" spans="1:8" ht="54" customHeight="1">
      <c r="A21" s="19"/>
      <c r="B21" s="20" t="s">
        <v>27</v>
      </c>
      <c r="C21" s="88">
        <f>CPE!B17</f>
        <v>14764</v>
      </c>
      <c r="D21" s="22"/>
      <c r="E21" s="85">
        <f t="shared" si="0"/>
        <v>14764</v>
      </c>
      <c r="F21" s="22"/>
      <c r="G21" s="22"/>
      <c r="H21" s="22"/>
    </row>
    <row r="22" spans="1:8" ht="54" customHeight="1">
      <c r="A22" s="19"/>
      <c r="B22" s="20" t="s">
        <v>28</v>
      </c>
      <c r="C22" s="88">
        <f>CPE!B18</f>
        <v>721198</v>
      </c>
      <c r="D22" s="22"/>
      <c r="E22" s="85">
        <f t="shared" si="0"/>
        <v>721198</v>
      </c>
      <c r="F22" s="22"/>
      <c r="G22" s="22"/>
      <c r="H22" s="22"/>
    </row>
    <row r="23" spans="1:8" ht="54" customHeight="1">
      <c r="A23" s="19"/>
      <c r="B23" s="20" t="s">
        <v>29</v>
      </c>
      <c r="C23" s="88">
        <f>CPE!B19</f>
        <v>3219.2799999999997</v>
      </c>
      <c r="D23" s="22"/>
      <c r="E23" s="85">
        <f t="shared" si="0"/>
        <v>3219.2799999999997</v>
      </c>
      <c r="F23" s="22"/>
      <c r="G23" s="22"/>
      <c r="H23" s="22"/>
    </row>
    <row r="24" spans="1:8" ht="54" customHeight="1">
      <c r="A24" s="19"/>
      <c r="B24" s="20" t="s">
        <v>98</v>
      </c>
      <c r="C24" s="88">
        <f>CPE!B20</f>
        <v>0</v>
      </c>
      <c r="D24" s="22"/>
      <c r="E24" s="85">
        <f t="shared" si="0"/>
        <v>0</v>
      </c>
      <c r="F24" s="22"/>
      <c r="G24" s="22"/>
      <c r="H24" s="22"/>
    </row>
    <row r="25" spans="1:8" ht="54" customHeight="1">
      <c r="A25" s="19"/>
      <c r="B25" s="20" t="s">
        <v>31</v>
      </c>
      <c r="C25" s="88">
        <f>CPE!B21</f>
        <v>0</v>
      </c>
      <c r="D25" s="22"/>
      <c r="E25" s="85">
        <f t="shared" si="0"/>
        <v>0</v>
      </c>
      <c r="F25" s="22"/>
      <c r="G25" s="22"/>
      <c r="H25" s="22"/>
    </row>
    <row r="26" spans="1:8" s="18" customFormat="1" ht="54" customHeight="1">
      <c r="A26" s="124" t="s">
        <v>32</v>
      </c>
      <c r="B26" s="125"/>
      <c r="C26" s="88">
        <f>CPE!B22</f>
        <v>4838668</v>
      </c>
      <c r="D26" s="22"/>
      <c r="E26" s="85">
        <f t="shared" si="0"/>
        <v>4838668</v>
      </c>
      <c r="F26" s="22"/>
      <c r="G26" s="22"/>
      <c r="H26" s="22"/>
    </row>
    <row r="27" spans="1:8" ht="54" customHeight="1">
      <c r="A27" s="19"/>
      <c r="B27" s="20" t="s">
        <v>33</v>
      </c>
      <c r="C27" s="88">
        <f>CPE!B23</f>
        <v>1738286</v>
      </c>
      <c r="D27" s="22"/>
      <c r="E27" s="85">
        <f t="shared" si="0"/>
        <v>1738286</v>
      </c>
      <c r="F27" s="22"/>
      <c r="G27" s="22"/>
      <c r="H27" s="22"/>
    </row>
    <row r="28" spans="1:8" ht="54" customHeight="1">
      <c r="A28" s="19"/>
      <c r="B28" s="20" t="s">
        <v>34</v>
      </c>
      <c r="C28" s="88">
        <f>CPE!B24</f>
        <v>76596</v>
      </c>
      <c r="D28" s="22"/>
      <c r="E28" s="85">
        <f t="shared" si="0"/>
        <v>76596</v>
      </c>
      <c r="F28" s="22"/>
      <c r="G28" s="22"/>
      <c r="H28" s="22"/>
    </row>
    <row r="29" spans="1:8" ht="54" customHeight="1">
      <c r="A29" s="19"/>
      <c r="B29" s="20" t="s">
        <v>35</v>
      </c>
      <c r="C29" s="88">
        <f>CPE!B25</f>
        <v>582416</v>
      </c>
      <c r="D29" s="22"/>
      <c r="E29" s="85">
        <f t="shared" si="0"/>
        <v>582416</v>
      </c>
      <c r="F29" s="22"/>
      <c r="G29" s="22"/>
      <c r="H29" s="22"/>
    </row>
    <row r="30" spans="1:8" ht="54" customHeight="1">
      <c r="A30" s="19"/>
      <c r="B30" s="20" t="s">
        <v>36</v>
      </c>
      <c r="C30" s="88">
        <f>CPE!B26</f>
        <v>34505</v>
      </c>
      <c r="D30" s="22"/>
      <c r="E30" s="85">
        <f t="shared" si="0"/>
        <v>34505</v>
      </c>
      <c r="F30" s="22"/>
      <c r="G30" s="22"/>
      <c r="H30" s="22"/>
    </row>
    <row r="31" spans="1:8" ht="54" customHeight="1">
      <c r="A31" s="19"/>
      <c r="B31" s="20" t="s">
        <v>37</v>
      </c>
      <c r="C31" s="88">
        <f>CPE!B27</f>
        <v>675569</v>
      </c>
      <c r="D31" s="22"/>
      <c r="E31" s="85">
        <f t="shared" si="0"/>
        <v>675569</v>
      </c>
      <c r="F31" s="22"/>
      <c r="G31" s="22"/>
      <c r="H31" s="22"/>
    </row>
    <row r="32" spans="1:8" ht="54" customHeight="1">
      <c r="A32" s="19"/>
      <c r="B32" s="20" t="s">
        <v>99</v>
      </c>
      <c r="C32" s="88">
        <f>CPE!B28</f>
        <v>108055</v>
      </c>
      <c r="D32" s="22"/>
      <c r="E32" s="85">
        <f t="shared" si="0"/>
        <v>108055</v>
      </c>
      <c r="F32" s="22"/>
      <c r="G32" s="22"/>
      <c r="H32" s="22"/>
    </row>
    <row r="33" spans="1:8" ht="54" customHeight="1">
      <c r="A33" s="19"/>
      <c r="B33" s="20" t="s">
        <v>39</v>
      </c>
      <c r="C33" s="88">
        <f>CPE!B29</f>
        <v>106451</v>
      </c>
      <c r="D33" s="22"/>
      <c r="E33" s="85">
        <f t="shared" si="0"/>
        <v>106451</v>
      </c>
      <c r="F33" s="22"/>
      <c r="G33" s="22"/>
      <c r="H33" s="22"/>
    </row>
    <row r="34" spans="1:8" ht="54" customHeight="1">
      <c r="A34" s="19"/>
      <c r="B34" s="20" t="s">
        <v>40</v>
      </c>
      <c r="C34" s="88">
        <f>CPE!B30</f>
        <v>518835</v>
      </c>
      <c r="D34" s="22"/>
      <c r="E34" s="85">
        <f t="shared" si="0"/>
        <v>518835</v>
      </c>
      <c r="F34" s="22"/>
      <c r="G34" s="22"/>
      <c r="H34" s="22"/>
    </row>
    <row r="35" spans="1:8" ht="54" customHeight="1">
      <c r="A35" s="19"/>
      <c r="B35" s="20" t="s">
        <v>41</v>
      </c>
      <c r="C35" s="88">
        <f>CPE!B31</f>
        <v>997955</v>
      </c>
      <c r="D35" s="22"/>
      <c r="E35" s="85">
        <f t="shared" si="0"/>
        <v>997955</v>
      </c>
      <c r="F35" s="22"/>
      <c r="G35" s="22"/>
      <c r="H35" s="22"/>
    </row>
    <row r="36" spans="1:8" s="18" customFormat="1" ht="54" customHeight="1">
      <c r="A36" s="124" t="s">
        <v>42</v>
      </c>
      <c r="B36" s="125"/>
      <c r="C36" s="88">
        <f>CPE!B32</f>
        <v>590092</v>
      </c>
      <c r="D36" s="22"/>
      <c r="E36" s="85">
        <f t="shared" si="0"/>
        <v>590092</v>
      </c>
      <c r="F36" s="22"/>
      <c r="G36" s="22"/>
      <c r="H36" s="22"/>
    </row>
    <row r="37" spans="1:8" ht="54" customHeight="1">
      <c r="A37" s="19"/>
      <c r="B37" s="20" t="s">
        <v>43</v>
      </c>
      <c r="C37" s="88">
        <f>CPE!B33</f>
        <v>0</v>
      </c>
      <c r="D37" s="22"/>
      <c r="E37" s="85">
        <f t="shared" si="0"/>
        <v>0</v>
      </c>
      <c r="F37" s="22"/>
      <c r="G37" s="22"/>
      <c r="H37" s="22"/>
    </row>
    <row r="38" spans="1:8" ht="54" customHeight="1">
      <c r="A38" s="19"/>
      <c r="B38" s="20" t="s">
        <v>44</v>
      </c>
      <c r="C38" s="88">
        <f>CPE!B34</f>
        <v>0</v>
      </c>
      <c r="D38" s="22"/>
      <c r="E38" s="85">
        <f t="shared" si="0"/>
        <v>0</v>
      </c>
      <c r="F38" s="22"/>
      <c r="G38" s="22"/>
      <c r="H38" s="22"/>
    </row>
    <row r="39" spans="1:8" ht="54" customHeight="1">
      <c r="A39" s="19"/>
      <c r="B39" s="20" t="s">
        <v>45</v>
      </c>
      <c r="C39" s="88">
        <f>CPE!B35</f>
        <v>0</v>
      </c>
      <c r="D39" s="22"/>
      <c r="E39" s="85">
        <f t="shared" si="0"/>
        <v>0</v>
      </c>
      <c r="F39" s="22"/>
      <c r="G39" s="22"/>
      <c r="H39" s="22"/>
    </row>
    <row r="40" spans="1:8" ht="54" customHeight="1" thickBot="1">
      <c r="A40" s="23"/>
      <c r="B40" s="24" t="s">
        <v>46</v>
      </c>
      <c r="C40" s="89">
        <f>CPE!B36</f>
        <v>590092</v>
      </c>
      <c r="D40" s="26"/>
      <c r="E40" s="86">
        <f t="shared" si="0"/>
        <v>590092</v>
      </c>
      <c r="F40" s="26"/>
      <c r="G40" s="26"/>
      <c r="H40" s="26"/>
    </row>
    <row r="41" spans="1:8" ht="54" customHeight="1">
      <c r="A41" s="27"/>
      <c r="B41" s="28" t="s">
        <v>47</v>
      </c>
      <c r="C41" s="88">
        <f>CPE!B37</f>
        <v>0</v>
      </c>
      <c r="D41" s="22"/>
      <c r="E41" s="85">
        <f t="shared" si="0"/>
        <v>0</v>
      </c>
      <c r="F41" s="29"/>
      <c r="G41" s="29"/>
      <c r="H41" s="29"/>
    </row>
    <row r="42" spans="1:8" ht="54" customHeight="1">
      <c r="A42" s="19"/>
      <c r="B42" s="20" t="s">
        <v>48</v>
      </c>
      <c r="C42" s="88">
        <f>CPE!B38</f>
        <v>0</v>
      </c>
      <c r="D42" s="22"/>
      <c r="E42" s="85">
        <f t="shared" si="0"/>
        <v>0</v>
      </c>
      <c r="F42" s="22"/>
      <c r="G42" s="22"/>
      <c r="H42" s="22"/>
    </row>
    <row r="43" spans="1:8" ht="54" customHeight="1">
      <c r="A43" s="19"/>
      <c r="B43" s="20" t="s">
        <v>49</v>
      </c>
      <c r="C43" s="88">
        <f>CPE!B39</f>
        <v>0</v>
      </c>
      <c r="D43" s="22"/>
      <c r="E43" s="85">
        <f t="shared" si="0"/>
        <v>0</v>
      </c>
      <c r="F43" s="22"/>
      <c r="G43" s="22"/>
      <c r="H43" s="22"/>
    </row>
    <row r="44" spans="1:8" ht="54" customHeight="1">
      <c r="A44" s="19"/>
      <c r="B44" s="20" t="s">
        <v>50</v>
      </c>
      <c r="C44" s="88">
        <f>CPE!B40</f>
        <v>0</v>
      </c>
      <c r="D44" s="22"/>
      <c r="E44" s="85">
        <f t="shared" si="0"/>
        <v>0</v>
      </c>
      <c r="F44" s="22"/>
      <c r="G44" s="22"/>
      <c r="H44" s="22"/>
    </row>
    <row r="45" spans="1:8" ht="54" customHeight="1">
      <c r="A45" s="19"/>
      <c r="B45" s="20" t="s">
        <v>51</v>
      </c>
      <c r="C45" s="88">
        <f>CPE!B41</f>
        <v>0</v>
      </c>
      <c r="D45" s="22"/>
      <c r="E45" s="85">
        <f t="shared" si="0"/>
        <v>0</v>
      </c>
      <c r="F45" s="22"/>
      <c r="G45" s="22"/>
      <c r="H45" s="22"/>
    </row>
    <row r="46" spans="1:8" s="18" customFormat="1" ht="54" customHeight="1">
      <c r="A46" s="124" t="s">
        <v>52</v>
      </c>
      <c r="B46" s="125"/>
      <c r="C46" s="88">
        <f>CPE!B42</f>
        <v>42731</v>
      </c>
      <c r="D46" s="22"/>
      <c r="E46" s="85">
        <f t="shared" si="0"/>
        <v>42731</v>
      </c>
      <c r="F46" s="22"/>
      <c r="G46" s="22"/>
      <c r="H46" s="22"/>
    </row>
    <row r="47" spans="1:8" ht="54" customHeight="1">
      <c r="A47" s="19"/>
      <c r="B47" s="20" t="s">
        <v>53</v>
      </c>
      <c r="C47" s="88">
        <f>CPE!B43</f>
        <v>42731</v>
      </c>
      <c r="D47" s="22"/>
      <c r="E47" s="85">
        <f t="shared" si="0"/>
        <v>42731</v>
      </c>
      <c r="F47" s="22"/>
      <c r="G47" s="22"/>
      <c r="H47" s="22"/>
    </row>
    <row r="48" spans="1:8" ht="54" customHeight="1">
      <c r="A48" s="19"/>
      <c r="B48" s="20" t="s">
        <v>54</v>
      </c>
      <c r="C48" s="88">
        <f>CPE!B44</f>
        <v>0</v>
      </c>
      <c r="D48" s="22"/>
      <c r="E48" s="85">
        <f t="shared" si="0"/>
        <v>0</v>
      </c>
      <c r="F48" s="22"/>
      <c r="G48" s="22"/>
      <c r="H48" s="22"/>
    </row>
    <row r="49" spans="1:8" ht="54" customHeight="1">
      <c r="A49" s="19"/>
      <c r="B49" s="20" t="s">
        <v>55</v>
      </c>
      <c r="C49" s="88">
        <f>CPE!B45</f>
        <v>0</v>
      </c>
      <c r="D49" s="22"/>
      <c r="E49" s="85">
        <f t="shared" si="0"/>
        <v>0</v>
      </c>
      <c r="F49" s="22"/>
      <c r="G49" s="22"/>
      <c r="H49" s="22"/>
    </row>
    <row r="50" spans="1:8" ht="54" customHeight="1">
      <c r="A50" s="19"/>
      <c r="B50" s="20" t="s">
        <v>56</v>
      </c>
      <c r="C50" s="88">
        <f>CPE!B46</f>
        <v>0</v>
      </c>
      <c r="D50" s="22"/>
      <c r="E50" s="85">
        <f t="shared" si="0"/>
        <v>0</v>
      </c>
      <c r="F50" s="22"/>
      <c r="G50" s="22"/>
      <c r="H50" s="22"/>
    </row>
    <row r="51" spans="1:8" ht="54" customHeight="1">
      <c r="A51" s="19"/>
      <c r="B51" s="20" t="s">
        <v>57</v>
      </c>
      <c r="C51" s="88">
        <f>CPE!B47</f>
        <v>0</v>
      </c>
      <c r="D51" s="22"/>
      <c r="E51" s="85">
        <f t="shared" si="0"/>
        <v>0</v>
      </c>
      <c r="F51" s="22"/>
      <c r="G51" s="22"/>
      <c r="H51" s="22"/>
    </row>
    <row r="52" spans="1:8" ht="54" customHeight="1">
      <c r="A52" s="19"/>
      <c r="B52" s="20" t="s">
        <v>58</v>
      </c>
      <c r="C52" s="88">
        <f>CPE!B48</f>
        <v>0</v>
      </c>
      <c r="D52" s="22"/>
      <c r="E52" s="85">
        <f t="shared" si="0"/>
        <v>0</v>
      </c>
      <c r="F52" s="22"/>
      <c r="G52" s="22"/>
      <c r="H52" s="22"/>
    </row>
    <row r="53" spans="1:8" ht="54" customHeight="1">
      <c r="A53" s="19"/>
      <c r="B53" s="20" t="s">
        <v>59</v>
      </c>
      <c r="C53" s="88">
        <f>CPE!B49</f>
        <v>0</v>
      </c>
      <c r="D53" s="22"/>
      <c r="E53" s="85">
        <f t="shared" si="0"/>
        <v>0</v>
      </c>
      <c r="F53" s="22"/>
      <c r="G53" s="22"/>
      <c r="H53" s="22"/>
    </row>
    <row r="54" spans="1:8" ht="54" customHeight="1">
      <c r="A54" s="19"/>
      <c r="B54" s="20" t="s">
        <v>60</v>
      </c>
      <c r="C54" s="88">
        <f>CPE!B50</f>
        <v>0</v>
      </c>
      <c r="D54" s="22"/>
      <c r="E54" s="85">
        <f t="shared" si="0"/>
        <v>0</v>
      </c>
      <c r="F54" s="22"/>
      <c r="G54" s="22"/>
      <c r="H54" s="22"/>
    </row>
    <row r="55" spans="1:8" ht="54" customHeight="1">
      <c r="A55" s="19"/>
      <c r="B55" s="20" t="s">
        <v>61</v>
      </c>
      <c r="C55" s="88">
        <f>CPE!B51</f>
        <v>0</v>
      </c>
      <c r="D55" s="22"/>
      <c r="E55" s="85">
        <f t="shared" si="0"/>
        <v>0</v>
      </c>
      <c r="F55" s="22"/>
      <c r="G55" s="22"/>
      <c r="H55" s="22"/>
    </row>
    <row r="56" spans="1:8" s="18" customFormat="1" ht="54" customHeight="1">
      <c r="A56" s="124" t="s">
        <v>62</v>
      </c>
      <c r="B56" s="125"/>
      <c r="C56" s="88">
        <f>CPE!B52</f>
        <v>4830222.9000000004</v>
      </c>
      <c r="D56" s="22"/>
      <c r="E56" s="85">
        <f t="shared" si="0"/>
        <v>4830222.9000000004</v>
      </c>
      <c r="F56" s="22"/>
      <c r="G56" s="22"/>
      <c r="H56" s="22"/>
    </row>
    <row r="57" spans="1:8" ht="54" customHeight="1">
      <c r="A57" s="19"/>
      <c r="B57" s="20" t="s">
        <v>100</v>
      </c>
      <c r="C57" s="88">
        <f>CPE!B53</f>
        <v>4830222.9000000004</v>
      </c>
      <c r="D57" s="22"/>
      <c r="E57" s="85">
        <f t="shared" si="0"/>
        <v>4830222.9000000004</v>
      </c>
      <c r="F57" s="22"/>
      <c r="G57" s="22"/>
      <c r="H57" s="22"/>
    </row>
    <row r="58" spans="1:8" ht="54" customHeight="1">
      <c r="A58" s="19"/>
      <c r="B58" s="20" t="s">
        <v>64</v>
      </c>
      <c r="C58" s="88">
        <f>CPE!B54</f>
        <v>0</v>
      </c>
      <c r="D58" s="22"/>
      <c r="E58" s="85">
        <f t="shared" si="0"/>
        <v>0</v>
      </c>
      <c r="F58" s="22"/>
      <c r="G58" s="22"/>
      <c r="H58" s="22"/>
    </row>
    <row r="59" spans="1:8" ht="54" customHeight="1">
      <c r="A59" s="19"/>
      <c r="B59" s="20" t="s">
        <v>65</v>
      </c>
      <c r="C59" s="88">
        <f>CPE!B55</f>
        <v>0</v>
      </c>
      <c r="D59" s="22"/>
      <c r="E59" s="85">
        <f t="shared" si="0"/>
        <v>0</v>
      </c>
      <c r="F59" s="22"/>
      <c r="G59" s="22"/>
      <c r="H59" s="22"/>
    </row>
    <row r="60" spans="1:8" s="18" customFormat="1" ht="54" customHeight="1">
      <c r="A60" s="124" t="s">
        <v>66</v>
      </c>
      <c r="B60" s="125"/>
      <c r="C60" s="88">
        <f>CPE!B56</f>
        <v>0</v>
      </c>
      <c r="D60" s="22"/>
      <c r="E60" s="85">
        <f t="shared" si="0"/>
        <v>0</v>
      </c>
      <c r="F60" s="22"/>
      <c r="G60" s="22"/>
      <c r="H60" s="22"/>
    </row>
    <row r="61" spans="1:8" ht="54" customHeight="1">
      <c r="A61" s="19"/>
      <c r="B61" s="20" t="s">
        <v>101</v>
      </c>
      <c r="C61" s="88">
        <f>CPE!B57</f>
        <v>0</v>
      </c>
      <c r="D61" s="22"/>
      <c r="E61" s="85">
        <f t="shared" si="0"/>
        <v>0</v>
      </c>
      <c r="F61" s="22"/>
      <c r="G61" s="22"/>
      <c r="H61" s="22"/>
    </row>
    <row r="62" spans="1:8" ht="54" customHeight="1">
      <c r="A62" s="19"/>
      <c r="B62" s="20" t="s">
        <v>68</v>
      </c>
      <c r="C62" s="88">
        <f>CPE!B58</f>
        <v>0</v>
      </c>
      <c r="D62" s="22"/>
      <c r="E62" s="85">
        <f t="shared" si="0"/>
        <v>0</v>
      </c>
      <c r="F62" s="22"/>
      <c r="G62" s="22"/>
      <c r="H62" s="22"/>
    </row>
    <row r="63" spans="1:8" ht="54" customHeight="1">
      <c r="A63" s="19"/>
      <c r="B63" s="20" t="s">
        <v>69</v>
      </c>
      <c r="C63" s="88">
        <f>CPE!B59</f>
        <v>0</v>
      </c>
      <c r="D63" s="22"/>
      <c r="E63" s="85">
        <f t="shared" si="0"/>
        <v>0</v>
      </c>
      <c r="F63" s="22"/>
      <c r="G63" s="22"/>
      <c r="H63" s="22"/>
    </row>
    <row r="64" spans="1:8" ht="54" customHeight="1">
      <c r="A64" s="19"/>
      <c r="B64" s="20" t="s">
        <v>70</v>
      </c>
      <c r="C64" s="88">
        <f>CPE!B60</f>
        <v>0</v>
      </c>
      <c r="D64" s="22"/>
      <c r="E64" s="85">
        <f t="shared" si="0"/>
        <v>0</v>
      </c>
      <c r="F64" s="22"/>
      <c r="G64" s="22"/>
      <c r="H64" s="22"/>
    </row>
    <row r="65" spans="1:8" ht="54" customHeight="1">
      <c r="A65" s="19"/>
      <c r="B65" s="20" t="s">
        <v>71</v>
      </c>
      <c r="C65" s="88">
        <f>CPE!B61</f>
        <v>0</v>
      </c>
      <c r="D65" s="22"/>
      <c r="E65" s="85">
        <f t="shared" si="0"/>
        <v>0</v>
      </c>
      <c r="F65" s="22"/>
      <c r="G65" s="22"/>
      <c r="H65" s="22"/>
    </row>
    <row r="66" spans="1:8" ht="54" customHeight="1">
      <c r="A66" s="19"/>
      <c r="B66" s="20" t="s">
        <v>72</v>
      </c>
      <c r="C66" s="88">
        <f>CPE!B62</f>
        <v>0</v>
      </c>
      <c r="D66" s="22"/>
      <c r="E66" s="85">
        <f t="shared" si="0"/>
        <v>0</v>
      </c>
      <c r="F66" s="22"/>
      <c r="G66" s="22"/>
      <c r="H66" s="22"/>
    </row>
    <row r="67" spans="1:8" ht="54" customHeight="1">
      <c r="A67" s="19"/>
      <c r="B67" s="20" t="s">
        <v>73</v>
      </c>
      <c r="C67" s="88">
        <f>CPE!B63</f>
        <v>0</v>
      </c>
      <c r="D67" s="22"/>
      <c r="E67" s="85">
        <f t="shared" si="0"/>
        <v>0</v>
      </c>
      <c r="F67" s="22"/>
      <c r="G67" s="22"/>
      <c r="H67" s="22"/>
    </row>
    <row r="68" spans="1:8" s="18" customFormat="1" ht="54" customHeight="1">
      <c r="A68" s="124" t="s">
        <v>74</v>
      </c>
      <c r="B68" s="125"/>
      <c r="C68" s="88">
        <f>CPE!B64</f>
        <v>305871.09999999998</v>
      </c>
      <c r="D68" s="22"/>
      <c r="E68" s="85">
        <f t="shared" si="0"/>
        <v>305871.09999999998</v>
      </c>
      <c r="F68" s="22"/>
      <c r="G68" s="22"/>
      <c r="H68" s="22"/>
    </row>
    <row r="69" spans="1:8" ht="54" customHeight="1">
      <c r="A69" s="19"/>
      <c r="B69" s="20" t="s">
        <v>75</v>
      </c>
      <c r="C69" s="88">
        <f>CPE!B65</f>
        <v>0</v>
      </c>
      <c r="D69" s="22"/>
      <c r="E69" s="85">
        <f t="shared" si="0"/>
        <v>0</v>
      </c>
      <c r="F69" s="22"/>
      <c r="G69" s="22"/>
      <c r="H69" s="22"/>
    </row>
    <row r="70" spans="1:8" ht="54" customHeight="1">
      <c r="A70" s="19"/>
      <c r="B70" s="20" t="s">
        <v>76</v>
      </c>
      <c r="C70" s="88">
        <f>CPE!B66</f>
        <v>0</v>
      </c>
      <c r="D70" s="22"/>
      <c r="E70" s="85">
        <f t="shared" si="0"/>
        <v>0</v>
      </c>
      <c r="F70" s="22"/>
      <c r="G70" s="22"/>
      <c r="H70" s="22"/>
    </row>
    <row r="71" spans="1:8" ht="54" customHeight="1">
      <c r="A71" s="19"/>
      <c r="B71" s="20" t="s">
        <v>77</v>
      </c>
      <c r="C71" s="88">
        <f>CPE!B67</f>
        <v>305871.09999999998</v>
      </c>
      <c r="D71" s="22"/>
      <c r="E71" s="85">
        <f t="shared" si="0"/>
        <v>305871.09999999998</v>
      </c>
      <c r="F71" s="22"/>
      <c r="G71" s="22"/>
      <c r="H71" s="22"/>
    </row>
    <row r="72" spans="1:8" s="18" customFormat="1" ht="54" customHeight="1">
      <c r="A72" s="124" t="s">
        <v>78</v>
      </c>
      <c r="B72" s="125"/>
      <c r="C72" s="88">
        <f>CPE!B68</f>
        <v>740558.72</v>
      </c>
      <c r="D72" s="22"/>
      <c r="E72" s="85">
        <f t="shared" si="0"/>
        <v>740558.72</v>
      </c>
      <c r="F72" s="22"/>
      <c r="G72" s="22"/>
      <c r="H72" s="22"/>
    </row>
    <row r="73" spans="1:8" ht="54" customHeight="1">
      <c r="A73" s="19"/>
      <c r="B73" s="20" t="s">
        <v>79</v>
      </c>
      <c r="C73" s="88">
        <f>CPE!B69</f>
        <v>673170.72</v>
      </c>
      <c r="D73" s="22"/>
      <c r="E73" s="85">
        <f t="shared" ref="E73:E79" si="1">+C73+D73</f>
        <v>673170.72</v>
      </c>
      <c r="F73" s="22"/>
      <c r="G73" s="22"/>
      <c r="H73" s="22"/>
    </row>
    <row r="74" spans="1:8" ht="54" customHeight="1">
      <c r="A74" s="19"/>
      <c r="B74" s="20" t="s">
        <v>80</v>
      </c>
      <c r="C74" s="88">
        <f>CPE!B70</f>
        <v>67388</v>
      </c>
      <c r="D74" s="22"/>
      <c r="E74" s="85">
        <f t="shared" si="1"/>
        <v>67388</v>
      </c>
      <c r="F74" s="22"/>
      <c r="G74" s="22"/>
      <c r="H74" s="22"/>
    </row>
    <row r="75" spans="1:8" ht="54" customHeight="1">
      <c r="A75" s="19"/>
      <c r="B75" s="20" t="s">
        <v>81</v>
      </c>
      <c r="C75" s="88">
        <f>CPE!B71</f>
        <v>0</v>
      </c>
      <c r="D75" s="22"/>
      <c r="E75" s="85">
        <f t="shared" si="1"/>
        <v>0</v>
      </c>
      <c r="F75" s="22"/>
      <c r="G75" s="22"/>
      <c r="H75" s="22"/>
    </row>
    <row r="76" spans="1:8" ht="54" customHeight="1">
      <c r="A76" s="19"/>
      <c r="B76" s="20" t="s">
        <v>82</v>
      </c>
      <c r="C76" s="88">
        <f>CPE!B72</f>
        <v>0</v>
      </c>
      <c r="D76" s="22"/>
      <c r="E76" s="85">
        <f t="shared" si="1"/>
        <v>0</v>
      </c>
      <c r="F76" s="22"/>
      <c r="G76" s="22"/>
      <c r="H76" s="22"/>
    </row>
    <row r="77" spans="1:8" ht="54" customHeight="1">
      <c r="A77" s="19"/>
      <c r="B77" s="20" t="s">
        <v>83</v>
      </c>
      <c r="C77" s="88">
        <f>CPE!B73</f>
        <v>0</v>
      </c>
      <c r="D77" s="22"/>
      <c r="E77" s="85">
        <f t="shared" si="1"/>
        <v>0</v>
      </c>
      <c r="F77" s="22"/>
      <c r="G77" s="22"/>
      <c r="H77" s="22"/>
    </row>
    <row r="78" spans="1:8" ht="54" customHeight="1">
      <c r="A78" s="19"/>
      <c r="B78" s="20" t="s">
        <v>84</v>
      </c>
      <c r="C78" s="88">
        <f>CPE!B74</f>
        <v>0</v>
      </c>
      <c r="D78" s="22"/>
      <c r="E78" s="85">
        <f t="shared" si="1"/>
        <v>0</v>
      </c>
      <c r="F78" s="22"/>
      <c r="G78" s="22"/>
      <c r="H78" s="22"/>
    </row>
    <row r="79" spans="1:8" ht="54" customHeight="1" thickBot="1">
      <c r="A79" s="19"/>
      <c r="B79" s="20" t="s">
        <v>102</v>
      </c>
      <c r="C79" s="89">
        <f>CPE!B75</f>
        <v>0</v>
      </c>
      <c r="D79" s="22"/>
      <c r="E79" s="85">
        <f t="shared" si="1"/>
        <v>0</v>
      </c>
      <c r="F79" s="22"/>
      <c r="G79" s="22"/>
      <c r="H79" s="22"/>
    </row>
    <row r="80" spans="1:8" s="18" customFormat="1" ht="54" customHeight="1" thickBot="1">
      <c r="A80" s="30"/>
      <c r="B80" s="31" t="s">
        <v>103</v>
      </c>
      <c r="C80" s="76">
        <f>SUM(C72,C68,C56,C46,C36,C26,C16,C8)</f>
        <v>17546101</v>
      </c>
      <c r="D80" s="76">
        <f t="shared" ref="D80:E80" si="2">SUM(D72,D68,D56,D46,D36,D26,D16,D8)</f>
        <v>0</v>
      </c>
      <c r="E80" s="76">
        <f t="shared" si="2"/>
        <v>17546101</v>
      </c>
      <c r="F80" s="31"/>
      <c r="G80" s="31"/>
      <c r="H80" s="31"/>
    </row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</sheetData>
  <mergeCells count="16">
    <mergeCell ref="A1:H1"/>
    <mergeCell ref="A2:H2"/>
    <mergeCell ref="A3:H3"/>
    <mergeCell ref="A4:H4"/>
    <mergeCell ref="A5:B7"/>
    <mergeCell ref="C5:G5"/>
    <mergeCell ref="H5:H6"/>
    <mergeCell ref="A60:B60"/>
    <mergeCell ref="A68:B68"/>
    <mergeCell ref="A72:B72"/>
    <mergeCell ref="A8:B8"/>
    <mergeCell ref="A16:B16"/>
    <mergeCell ref="A26:B26"/>
    <mergeCell ref="A36:B36"/>
    <mergeCell ref="A46:B46"/>
    <mergeCell ref="A56:B56"/>
  </mergeCells>
  <pageMargins left="0.70866141732283472" right="0.70866141732283472" top="0.74803149606299213" bottom="0.74803149606299213" header="0.31496062992125984" footer="0.31496062992125984"/>
  <pageSetup scale="49" orientation="portrait" verticalDpi="0" r:id="rId1"/>
  <headerFooter>
    <oddFooter>&amp;C&amp;P</oddFooter>
  </headerFooter>
  <rowBreaks count="4" manualBreakCount="4">
    <brk id="25" max="16383" man="1"/>
    <brk id="35" max="16383" man="1"/>
    <brk id="55" max="16383" man="1"/>
    <brk id="71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view="pageBreakPreview" zoomScaleNormal="100" zoomScaleSheetLayoutView="100" workbookViewId="0">
      <selection activeCell="A3" sqref="A3:G3"/>
    </sheetView>
  </sheetViews>
  <sheetFormatPr baseColWidth="10" defaultRowHeight="18.75"/>
  <cols>
    <col min="1" max="1" width="47.28515625" style="7" customWidth="1"/>
    <col min="2" max="7" width="22.28515625" style="7" customWidth="1"/>
    <col min="8" max="16384" width="11.42578125" style="7"/>
  </cols>
  <sheetData>
    <row r="1" spans="1:7" ht="30" customHeight="1">
      <c r="A1" s="159" t="s">
        <v>205</v>
      </c>
      <c r="B1" s="160"/>
      <c r="C1" s="160"/>
      <c r="D1" s="160"/>
      <c r="E1" s="160"/>
      <c r="F1" s="160"/>
      <c r="G1" s="161"/>
    </row>
    <row r="2" spans="1:7" ht="30" customHeight="1">
      <c r="A2" s="162" t="s">
        <v>86</v>
      </c>
      <c r="B2" s="163"/>
      <c r="C2" s="163"/>
      <c r="D2" s="163"/>
      <c r="E2" s="163"/>
      <c r="F2" s="163"/>
      <c r="G2" s="164"/>
    </row>
    <row r="3" spans="1:7" ht="30" customHeight="1">
      <c r="A3" s="162" t="s">
        <v>104</v>
      </c>
      <c r="B3" s="163"/>
      <c r="C3" s="163"/>
      <c r="D3" s="163"/>
      <c r="E3" s="163"/>
      <c r="F3" s="163"/>
      <c r="G3" s="164"/>
    </row>
    <row r="4" spans="1:7" ht="30" customHeight="1" thickBot="1">
      <c r="A4" s="148" t="s">
        <v>231</v>
      </c>
      <c r="B4" s="149"/>
      <c r="C4" s="149"/>
      <c r="D4" s="149"/>
      <c r="E4" s="149"/>
      <c r="F4" s="149"/>
      <c r="G4" s="150"/>
    </row>
    <row r="5" spans="1:7" ht="30" customHeight="1" thickBot="1">
      <c r="A5" s="151"/>
      <c r="B5" s="154" t="s">
        <v>89</v>
      </c>
      <c r="C5" s="155"/>
      <c r="D5" s="155"/>
      <c r="E5" s="155"/>
      <c r="F5" s="156"/>
      <c r="G5" s="157" t="s">
        <v>90</v>
      </c>
    </row>
    <row r="6" spans="1:7" ht="45" customHeight="1" thickBot="1">
      <c r="A6" s="152"/>
      <c r="B6" s="8" t="s">
        <v>91</v>
      </c>
      <c r="C6" s="8" t="s">
        <v>92</v>
      </c>
      <c r="D6" s="8" t="s">
        <v>93</v>
      </c>
      <c r="E6" s="8" t="s">
        <v>94</v>
      </c>
      <c r="F6" s="8" t="s">
        <v>95</v>
      </c>
      <c r="G6" s="158"/>
    </row>
    <row r="7" spans="1:7" ht="30" customHeight="1" thickBot="1">
      <c r="A7" s="153"/>
      <c r="B7" s="8">
        <v>1</v>
      </c>
      <c r="C7" s="8">
        <v>2</v>
      </c>
      <c r="D7" s="8" t="s">
        <v>96</v>
      </c>
      <c r="E7" s="8">
        <v>4</v>
      </c>
      <c r="F7" s="8">
        <v>5</v>
      </c>
      <c r="G7" s="8" t="s">
        <v>97</v>
      </c>
    </row>
    <row r="8" spans="1:7" ht="54.75" customHeight="1">
      <c r="A8" s="9" t="s">
        <v>105</v>
      </c>
      <c r="B8" s="90">
        <v>11932588.380000001</v>
      </c>
      <c r="C8" s="90"/>
      <c r="D8" s="90">
        <f>SUM(B8:C8)</f>
        <v>11932588.380000001</v>
      </c>
      <c r="E8" s="90"/>
      <c r="F8" s="90"/>
      <c r="G8" s="90"/>
    </row>
    <row r="9" spans="1:7" ht="54.75" customHeight="1">
      <c r="A9" s="9" t="s">
        <v>106</v>
      </c>
      <c r="B9" s="90">
        <v>4872953.9000000004</v>
      </c>
      <c r="C9" s="90"/>
      <c r="D9" s="90">
        <f t="shared" ref="D9:D13" si="0">SUM(B9:C9)</f>
        <v>4872953.9000000004</v>
      </c>
      <c r="E9" s="90"/>
      <c r="F9" s="90"/>
      <c r="G9" s="90"/>
    </row>
    <row r="10" spans="1:7" ht="54.75" customHeight="1">
      <c r="A10" s="9" t="s">
        <v>107</v>
      </c>
      <c r="B10" s="90">
        <v>740558.72</v>
      </c>
      <c r="C10" s="90"/>
      <c r="D10" s="90">
        <f t="shared" si="0"/>
        <v>740558.72</v>
      </c>
      <c r="E10" s="90"/>
      <c r="F10" s="90"/>
      <c r="G10" s="90"/>
    </row>
    <row r="11" spans="1:7" ht="54.75" customHeight="1">
      <c r="A11" s="9" t="s">
        <v>47</v>
      </c>
      <c r="B11" s="90"/>
      <c r="C11" s="90"/>
      <c r="D11" s="90"/>
      <c r="E11" s="90"/>
      <c r="F11" s="90"/>
      <c r="G11" s="90"/>
    </row>
    <row r="12" spans="1:7" ht="54.75" customHeight="1">
      <c r="A12" s="9" t="s">
        <v>75</v>
      </c>
      <c r="B12" s="90"/>
      <c r="C12" s="90"/>
      <c r="D12" s="90"/>
      <c r="E12" s="90"/>
      <c r="F12" s="90"/>
      <c r="G12" s="90"/>
    </row>
    <row r="13" spans="1:7" ht="54.75" customHeight="1" thickBot="1">
      <c r="A13" s="10" t="s">
        <v>103</v>
      </c>
      <c r="B13" s="91">
        <f>SUM(B8:B12)</f>
        <v>17546101</v>
      </c>
      <c r="C13" s="91"/>
      <c r="D13" s="90">
        <f t="shared" si="0"/>
        <v>17546101</v>
      </c>
      <c r="E13" s="91"/>
      <c r="F13" s="91"/>
      <c r="G13" s="91"/>
    </row>
    <row r="14" spans="1:7" ht="30" customHeight="1"/>
    <row r="15" spans="1:7" ht="30" customHeight="1"/>
    <row r="16" spans="1:7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</sheetData>
  <mergeCells count="7">
    <mergeCell ref="A4:G4"/>
    <mergeCell ref="A5:A7"/>
    <mergeCell ref="B5:F5"/>
    <mergeCell ref="G5:G6"/>
    <mergeCell ref="A1:G1"/>
    <mergeCell ref="A2:G2"/>
    <mergeCell ref="A3:G3"/>
  </mergeCells>
  <pageMargins left="0.70866141732283472" right="0.70866141732283472" top="0.74803149606299213" bottom="0.74803149606299213" header="0.31496062992125984" footer="0.31496062992125984"/>
  <pageSetup scale="49" orientation="portrait" verticalDpi="0" r:id="rId1"/>
  <headerFooter>
    <oddFooter>&amp;C&amp;P</oddFooter>
  </headerFooter>
  <ignoredErrors>
    <ignoredError sqref="B13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9"/>
  <sheetViews>
    <sheetView view="pageBreakPreview" zoomScale="60" zoomScaleNormal="100" workbookViewId="0">
      <selection activeCell="A2" sqref="A2:G2"/>
    </sheetView>
  </sheetViews>
  <sheetFormatPr baseColWidth="10" defaultRowHeight="15.75"/>
  <cols>
    <col min="1" max="1" width="47.140625" style="5" customWidth="1"/>
    <col min="2" max="7" width="31.140625" style="5" customWidth="1"/>
    <col min="8" max="8" width="18.85546875" style="5" customWidth="1"/>
    <col min="9" max="16384" width="11.42578125" style="5"/>
  </cols>
  <sheetData>
    <row r="1" spans="1:7" ht="30" customHeight="1">
      <c r="A1" s="166" t="s">
        <v>205</v>
      </c>
      <c r="B1" s="167"/>
      <c r="C1" s="167"/>
      <c r="D1" s="167"/>
      <c r="E1" s="167"/>
      <c r="F1" s="167"/>
      <c r="G1" s="168"/>
    </row>
    <row r="2" spans="1:7" ht="30" customHeight="1">
      <c r="A2" s="169" t="s">
        <v>86</v>
      </c>
      <c r="B2" s="170"/>
      <c r="C2" s="170"/>
      <c r="D2" s="170"/>
      <c r="E2" s="170"/>
      <c r="F2" s="170"/>
      <c r="G2" s="171"/>
    </row>
    <row r="3" spans="1:7" ht="30" customHeight="1">
      <c r="A3" s="169" t="s">
        <v>108</v>
      </c>
      <c r="B3" s="170"/>
      <c r="C3" s="170"/>
      <c r="D3" s="170"/>
      <c r="E3" s="170"/>
      <c r="F3" s="170"/>
      <c r="G3" s="171"/>
    </row>
    <row r="4" spans="1:7" ht="30" customHeight="1" thickBot="1">
      <c r="A4" s="172" t="s">
        <v>231</v>
      </c>
      <c r="B4" s="173"/>
      <c r="C4" s="173"/>
      <c r="D4" s="173"/>
      <c r="E4" s="173"/>
      <c r="F4" s="173"/>
      <c r="G4" s="174"/>
    </row>
    <row r="5" spans="1:7" ht="11.25" customHeight="1" thickBot="1">
      <c r="A5" s="175"/>
      <c r="B5" s="175"/>
      <c r="C5" s="175"/>
      <c r="D5" s="175"/>
      <c r="E5" s="175"/>
      <c r="F5" s="175"/>
      <c r="G5" s="175"/>
    </row>
    <row r="6" spans="1:7" ht="30" customHeight="1" thickBot="1">
      <c r="A6" s="146" t="s">
        <v>88</v>
      </c>
      <c r="B6" s="143" t="s">
        <v>89</v>
      </c>
      <c r="C6" s="144"/>
      <c r="D6" s="144"/>
      <c r="E6" s="144"/>
      <c r="F6" s="145"/>
      <c r="G6" s="146" t="s">
        <v>90</v>
      </c>
    </row>
    <row r="7" spans="1:7" ht="42.75" customHeight="1" thickBot="1">
      <c r="A7" s="165"/>
      <c r="B7" s="6" t="s">
        <v>91</v>
      </c>
      <c r="C7" s="32" t="s">
        <v>92</v>
      </c>
      <c r="D7" s="32" t="s">
        <v>93</v>
      </c>
      <c r="E7" s="32" t="s">
        <v>94</v>
      </c>
      <c r="F7" s="32" t="s">
        <v>95</v>
      </c>
      <c r="G7" s="147"/>
    </row>
    <row r="8" spans="1:7" ht="30" customHeight="1" thickBot="1">
      <c r="A8" s="147"/>
      <c r="B8" s="6">
        <v>1</v>
      </c>
      <c r="C8" s="6">
        <v>2</v>
      </c>
      <c r="D8" s="6" t="s">
        <v>96</v>
      </c>
      <c r="E8" s="6">
        <v>4</v>
      </c>
      <c r="F8" s="6">
        <v>5</v>
      </c>
      <c r="G8" s="6" t="s">
        <v>97</v>
      </c>
    </row>
    <row r="9" spans="1:7" ht="41.25" customHeight="1">
      <c r="A9" s="33" t="s">
        <v>208</v>
      </c>
      <c r="B9" s="116">
        <v>10216348.1</v>
      </c>
      <c r="C9" s="116"/>
      <c r="D9" s="116">
        <f>SUM(B9:C9)</f>
        <v>10216348.1</v>
      </c>
      <c r="E9" s="92"/>
      <c r="F9" s="92"/>
      <c r="G9" s="92"/>
    </row>
    <row r="10" spans="1:7" ht="41.25" customHeight="1">
      <c r="A10" s="33" t="s">
        <v>209</v>
      </c>
      <c r="B10" s="116">
        <f>1064330+145000</f>
        <v>1209330</v>
      </c>
      <c r="C10" s="116"/>
      <c r="D10" s="116">
        <f t="shared" ref="D10:D13" si="0">SUM(B10:C10)</f>
        <v>1209330</v>
      </c>
      <c r="E10" s="92"/>
      <c r="F10" s="92"/>
      <c r="G10" s="92"/>
    </row>
    <row r="11" spans="1:7" ht="41.25" customHeight="1">
      <c r="A11" s="33" t="s">
        <v>232</v>
      </c>
      <c r="B11" s="116">
        <f>1183190.8+3502032.1</f>
        <v>4685222.9000000004</v>
      </c>
      <c r="C11" s="116"/>
      <c r="D11" s="116">
        <f t="shared" si="0"/>
        <v>4685222.9000000004</v>
      </c>
      <c r="E11" s="92"/>
      <c r="F11" s="92"/>
      <c r="G11" s="92"/>
    </row>
    <row r="12" spans="1:7" ht="41.25" customHeight="1">
      <c r="A12" s="33" t="s">
        <v>241</v>
      </c>
      <c r="B12" s="116">
        <v>604000</v>
      </c>
      <c r="C12" s="116"/>
      <c r="D12" s="116">
        <f t="shared" si="0"/>
        <v>604000</v>
      </c>
      <c r="E12" s="92"/>
      <c r="F12" s="92"/>
      <c r="G12" s="92"/>
    </row>
    <row r="13" spans="1:7" ht="41.25" customHeight="1">
      <c r="A13" s="33" t="s">
        <v>242</v>
      </c>
      <c r="B13" s="116">
        <v>831200</v>
      </c>
      <c r="C13" s="116"/>
      <c r="D13" s="116">
        <f t="shared" si="0"/>
        <v>831200</v>
      </c>
      <c r="E13" s="92"/>
      <c r="F13" s="92"/>
      <c r="G13" s="92"/>
    </row>
    <row r="14" spans="1:7" ht="41.25" customHeight="1">
      <c r="A14" s="33" t="s">
        <v>109</v>
      </c>
      <c r="B14" s="92"/>
      <c r="C14" s="92"/>
      <c r="D14" s="92"/>
      <c r="E14" s="92"/>
      <c r="F14" s="92"/>
      <c r="G14" s="92"/>
    </row>
    <row r="15" spans="1:7" ht="41.25" customHeight="1">
      <c r="A15" s="33" t="s">
        <v>110</v>
      </c>
      <c r="B15" s="92"/>
      <c r="C15" s="92"/>
      <c r="D15" s="92"/>
      <c r="E15" s="92"/>
      <c r="F15" s="92"/>
      <c r="G15" s="92"/>
    </row>
    <row r="16" spans="1:7" ht="41.25" customHeight="1" thickBot="1">
      <c r="A16" s="33" t="s">
        <v>111</v>
      </c>
      <c r="B16" s="92"/>
      <c r="C16" s="92"/>
      <c r="D16" s="92"/>
      <c r="E16" s="92"/>
      <c r="F16" s="92"/>
      <c r="G16" s="92"/>
    </row>
    <row r="17" spans="1:7" ht="30" customHeight="1">
      <c r="A17" s="39" t="s">
        <v>112</v>
      </c>
      <c r="B17" s="93">
        <f>SUM(B9:B16)</f>
        <v>17546101</v>
      </c>
      <c r="C17" s="93">
        <f t="shared" ref="C17:G17" si="1">SUM(C9:C16)</f>
        <v>0</v>
      </c>
      <c r="D17" s="93">
        <f t="shared" si="1"/>
        <v>17546101</v>
      </c>
      <c r="E17" s="93">
        <f t="shared" si="1"/>
        <v>0</v>
      </c>
      <c r="F17" s="93">
        <f t="shared" si="1"/>
        <v>0</v>
      </c>
      <c r="G17" s="93">
        <f t="shared" si="1"/>
        <v>0</v>
      </c>
    </row>
    <row r="18" spans="1:7" ht="30" customHeight="1"/>
    <row r="19" spans="1:7" ht="30" customHeight="1"/>
    <row r="20" spans="1:7" ht="30" customHeight="1"/>
    <row r="21" spans="1:7" ht="30" customHeight="1"/>
    <row r="22" spans="1:7" ht="30" customHeight="1"/>
    <row r="23" spans="1:7" ht="30" customHeight="1"/>
    <row r="24" spans="1:7" ht="30" customHeight="1"/>
    <row r="25" spans="1:7" ht="30" customHeight="1"/>
    <row r="26" spans="1:7" ht="30" customHeight="1"/>
    <row r="27" spans="1:7" ht="30" customHeight="1"/>
    <row r="28" spans="1:7" ht="30" customHeight="1"/>
    <row r="29" spans="1:7" ht="30" customHeight="1"/>
  </sheetData>
  <mergeCells count="8">
    <mergeCell ref="A6:A8"/>
    <mergeCell ref="B6:F6"/>
    <mergeCell ref="G6:G7"/>
    <mergeCell ref="A1:G1"/>
    <mergeCell ref="A2:G2"/>
    <mergeCell ref="A3:G3"/>
    <mergeCell ref="A4:G4"/>
    <mergeCell ref="A5:G5"/>
  </mergeCells>
  <pageMargins left="0.70866141732283472" right="0.70866141732283472" top="0.74803149606299213" bottom="0.74803149606299213" header="0.31496062992125984" footer="0.31496062992125984"/>
  <pageSetup scale="52" orientation="landscape" verticalDpi="0" r:id="rId1"/>
  <headerFooter>
    <oddFooter>&amp;C&amp;P</oddFooter>
  </headerFooter>
  <ignoredErrors>
    <ignoredError sqref="B17:G17" formulaRange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3"/>
  <sheetViews>
    <sheetView view="pageBreakPreview" zoomScale="60" zoomScaleNormal="100" workbookViewId="0">
      <selection sqref="A1:G1"/>
    </sheetView>
  </sheetViews>
  <sheetFormatPr baseColWidth="10" defaultRowHeight="15"/>
  <cols>
    <col min="1" max="1" width="38.5703125" style="3" customWidth="1"/>
    <col min="2" max="7" width="25.5703125" style="3" customWidth="1"/>
    <col min="8" max="16384" width="11.42578125" style="3"/>
  </cols>
  <sheetData>
    <row r="1" spans="1:7" ht="36" customHeight="1">
      <c r="A1" s="185" t="s">
        <v>205</v>
      </c>
      <c r="B1" s="186"/>
      <c r="C1" s="186"/>
      <c r="D1" s="186"/>
      <c r="E1" s="186"/>
      <c r="F1" s="186"/>
      <c r="G1" s="187"/>
    </row>
    <row r="2" spans="1:7" ht="20.25">
      <c r="A2" s="185" t="s">
        <v>86</v>
      </c>
      <c r="B2" s="186"/>
      <c r="C2" s="186"/>
      <c r="D2" s="186"/>
      <c r="E2" s="186"/>
      <c r="F2" s="186"/>
      <c r="G2" s="187"/>
    </row>
    <row r="3" spans="1:7" ht="20.25">
      <c r="A3" s="185" t="s">
        <v>108</v>
      </c>
      <c r="B3" s="186"/>
      <c r="C3" s="186"/>
      <c r="D3" s="186"/>
      <c r="E3" s="186"/>
      <c r="F3" s="186"/>
      <c r="G3" s="187"/>
    </row>
    <row r="4" spans="1:7" ht="21" thickBot="1">
      <c r="A4" s="188" t="s">
        <v>231</v>
      </c>
      <c r="B4" s="189"/>
      <c r="C4" s="189"/>
      <c r="D4" s="189"/>
      <c r="E4" s="189"/>
      <c r="F4" s="189"/>
      <c r="G4" s="190"/>
    </row>
    <row r="5" spans="1:7" ht="6.75" customHeight="1" thickBot="1">
      <c r="A5" s="191"/>
      <c r="B5" s="191"/>
      <c r="C5" s="191"/>
      <c r="D5" s="191"/>
      <c r="E5" s="191"/>
      <c r="F5" s="191"/>
      <c r="G5" s="191"/>
    </row>
    <row r="6" spans="1:7" ht="21" thickBot="1">
      <c r="A6" s="179" t="s">
        <v>88</v>
      </c>
      <c r="B6" s="182" t="s">
        <v>89</v>
      </c>
      <c r="C6" s="183"/>
      <c r="D6" s="183"/>
      <c r="E6" s="183"/>
      <c r="F6" s="184"/>
      <c r="G6" s="179" t="s">
        <v>90</v>
      </c>
    </row>
    <row r="7" spans="1:7" ht="53.25" customHeight="1" thickBot="1">
      <c r="A7" s="180"/>
      <c r="B7" s="40" t="s">
        <v>91</v>
      </c>
      <c r="C7" s="41" t="s">
        <v>92</v>
      </c>
      <c r="D7" s="41" t="s">
        <v>93</v>
      </c>
      <c r="E7" s="41" t="s">
        <v>94</v>
      </c>
      <c r="F7" s="41" t="s">
        <v>95</v>
      </c>
      <c r="G7" s="181"/>
    </row>
    <row r="8" spans="1:7" ht="21" thickBot="1">
      <c r="A8" s="181"/>
      <c r="B8" s="40">
        <v>1</v>
      </c>
      <c r="C8" s="40">
        <v>2</v>
      </c>
      <c r="D8" s="40" t="s">
        <v>96</v>
      </c>
      <c r="E8" s="40">
        <v>4</v>
      </c>
      <c r="F8" s="40">
        <v>5</v>
      </c>
      <c r="G8" s="40" t="s">
        <v>97</v>
      </c>
    </row>
    <row r="9" spans="1:7" ht="28.5" customHeight="1">
      <c r="A9" s="42" t="s">
        <v>113</v>
      </c>
      <c r="B9" s="43"/>
      <c r="C9" s="43"/>
      <c r="D9" s="43"/>
      <c r="E9" s="43"/>
      <c r="F9" s="43"/>
      <c r="G9" s="43"/>
    </row>
    <row r="10" spans="1:7" ht="28.5" customHeight="1">
      <c r="A10" s="42" t="s">
        <v>114</v>
      </c>
      <c r="B10" s="43"/>
      <c r="C10" s="43"/>
      <c r="D10" s="43"/>
      <c r="E10" s="43"/>
      <c r="F10" s="43"/>
      <c r="G10" s="43"/>
    </row>
    <row r="11" spans="1:7" ht="28.5" customHeight="1">
      <c r="A11" s="42" t="s">
        <v>115</v>
      </c>
      <c r="B11" s="176" t="s">
        <v>210</v>
      </c>
      <c r="C11" s="177"/>
      <c r="D11" s="177"/>
      <c r="E11" s="177"/>
      <c r="F11" s="177"/>
      <c r="G11" s="178"/>
    </row>
    <row r="12" spans="1:7" ht="28.5" customHeight="1" thickBot="1">
      <c r="A12" s="42" t="s">
        <v>116</v>
      </c>
      <c r="B12" s="43"/>
      <c r="C12" s="43"/>
      <c r="D12" s="43"/>
      <c r="E12" s="43"/>
      <c r="F12" s="43"/>
      <c r="G12" s="43"/>
    </row>
    <row r="13" spans="1:7" ht="21" thickBot="1">
      <c r="A13" s="44" t="s">
        <v>117</v>
      </c>
      <c r="B13" s="45"/>
      <c r="C13" s="45"/>
      <c r="D13" s="45"/>
      <c r="E13" s="45"/>
      <c r="F13" s="45"/>
      <c r="G13" s="45"/>
    </row>
  </sheetData>
  <mergeCells count="9">
    <mergeCell ref="B11:G11"/>
    <mergeCell ref="A6:A8"/>
    <mergeCell ref="B6:F6"/>
    <mergeCell ref="G6:G7"/>
    <mergeCell ref="A1:G1"/>
    <mergeCell ref="A2:G2"/>
    <mergeCell ref="A3:G3"/>
    <mergeCell ref="A4:G4"/>
    <mergeCell ref="A5:G5"/>
  </mergeCells>
  <pageMargins left="0.70866141732283472" right="0.70866141732283472" top="0.74803149606299213" bottom="0.74803149606299213" header="0.31496062992125984" footer="0.31496062992125984"/>
  <pageSetup scale="63" orientation="landscape" verticalDpi="0" r:id="rId1"/>
  <headerFooter>
    <oddFooter>&amp;C&amp;P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5"/>
  <sheetViews>
    <sheetView view="pageBreakPreview" zoomScale="60" zoomScaleNormal="100" workbookViewId="0">
      <selection activeCell="A3" sqref="A3:G3"/>
    </sheetView>
  </sheetViews>
  <sheetFormatPr baseColWidth="10" defaultRowHeight="21"/>
  <cols>
    <col min="1" max="1" width="68" style="53" customWidth="1"/>
    <col min="2" max="7" width="33.7109375" style="53" customWidth="1"/>
    <col min="8" max="16384" width="11.42578125" style="53"/>
  </cols>
  <sheetData>
    <row r="1" spans="1:7">
      <c r="A1" s="198" t="s">
        <v>206</v>
      </c>
      <c r="B1" s="199"/>
      <c r="C1" s="199"/>
      <c r="D1" s="199"/>
      <c r="E1" s="199"/>
      <c r="F1" s="199"/>
      <c r="G1" s="200"/>
    </row>
    <row r="2" spans="1:7">
      <c r="A2" s="201" t="s">
        <v>86</v>
      </c>
      <c r="B2" s="202"/>
      <c r="C2" s="202"/>
      <c r="D2" s="202"/>
      <c r="E2" s="202"/>
      <c r="F2" s="202"/>
      <c r="G2" s="203"/>
    </row>
    <row r="3" spans="1:7">
      <c r="A3" s="201" t="s">
        <v>108</v>
      </c>
      <c r="B3" s="202"/>
      <c r="C3" s="202"/>
      <c r="D3" s="202"/>
      <c r="E3" s="202"/>
      <c r="F3" s="202"/>
      <c r="G3" s="203"/>
    </row>
    <row r="4" spans="1:7" ht="21.75" thickBot="1">
      <c r="A4" s="204" t="s">
        <v>233</v>
      </c>
      <c r="B4" s="205"/>
      <c r="C4" s="205"/>
      <c r="D4" s="205"/>
      <c r="E4" s="205"/>
      <c r="F4" s="205"/>
      <c r="G4" s="206"/>
    </row>
    <row r="5" spans="1:7" ht="21.75" thickBot="1">
      <c r="A5" s="195"/>
      <c r="B5" s="182" t="s">
        <v>89</v>
      </c>
      <c r="C5" s="183"/>
      <c r="D5" s="183"/>
      <c r="E5" s="183"/>
      <c r="F5" s="184"/>
      <c r="G5" s="179" t="s">
        <v>90</v>
      </c>
    </row>
    <row r="6" spans="1:7" ht="41.25" thickBot="1">
      <c r="A6" s="196"/>
      <c r="B6" s="40" t="s">
        <v>91</v>
      </c>
      <c r="C6" s="40" t="s">
        <v>92</v>
      </c>
      <c r="D6" s="40" t="s">
        <v>93</v>
      </c>
      <c r="E6" s="40" t="s">
        <v>94</v>
      </c>
      <c r="F6" s="40" t="s">
        <v>95</v>
      </c>
      <c r="G6" s="181"/>
    </row>
    <row r="7" spans="1:7" ht="21.75" thickBot="1">
      <c r="A7" s="197"/>
      <c r="B7" s="40">
        <v>1</v>
      </c>
      <c r="C7" s="40">
        <v>2</v>
      </c>
      <c r="D7" s="40" t="s">
        <v>96</v>
      </c>
      <c r="E7" s="40">
        <v>4</v>
      </c>
      <c r="F7" s="40">
        <v>5</v>
      </c>
      <c r="G7" s="40" t="s">
        <v>97</v>
      </c>
    </row>
    <row r="8" spans="1:7" ht="75.75" customHeight="1">
      <c r="A8" s="43" t="s">
        <v>118</v>
      </c>
      <c r="B8" s="43"/>
      <c r="C8" s="43"/>
      <c r="D8" s="43"/>
      <c r="E8" s="43"/>
      <c r="F8" s="43"/>
      <c r="G8" s="43"/>
    </row>
    <row r="9" spans="1:7" ht="75.75" customHeight="1">
      <c r="A9" s="43" t="s">
        <v>119</v>
      </c>
      <c r="B9" s="43"/>
      <c r="C9" s="43"/>
      <c r="D9" s="43"/>
      <c r="E9" s="43"/>
      <c r="F9" s="43"/>
      <c r="G9" s="43"/>
    </row>
    <row r="10" spans="1:7" ht="75.75" customHeight="1">
      <c r="A10" s="43" t="s">
        <v>120</v>
      </c>
      <c r="B10" s="43"/>
      <c r="C10" s="43"/>
      <c r="D10" s="43"/>
      <c r="E10" s="43"/>
      <c r="F10" s="43"/>
      <c r="G10" s="43"/>
    </row>
    <row r="11" spans="1:7" ht="75.75" customHeight="1">
      <c r="A11" s="43" t="s">
        <v>121</v>
      </c>
      <c r="B11" s="192" t="s">
        <v>210</v>
      </c>
      <c r="C11" s="193"/>
      <c r="D11" s="193"/>
      <c r="E11" s="193"/>
      <c r="F11" s="193"/>
      <c r="G11" s="194"/>
    </row>
    <row r="12" spans="1:7" ht="75.75" customHeight="1">
      <c r="A12" s="43" t="s">
        <v>122</v>
      </c>
      <c r="B12" s="54"/>
      <c r="C12" s="54"/>
      <c r="D12" s="54"/>
      <c r="E12" s="54"/>
      <c r="F12" s="54"/>
      <c r="G12" s="54"/>
    </row>
    <row r="13" spans="1:7" ht="75.75" customHeight="1">
      <c r="A13" s="43" t="s">
        <v>123</v>
      </c>
      <c r="B13" s="54"/>
      <c r="C13" s="54"/>
      <c r="D13" s="54"/>
      <c r="E13" s="54"/>
      <c r="F13" s="54"/>
      <c r="G13" s="54"/>
    </row>
    <row r="14" spans="1:7" ht="75.75" customHeight="1" thickBot="1">
      <c r="A14" s="43" t="s">
        <v>124</v>
      </c>
      <c r="B14" s="54"/>
      <c r="C14" s="54"/>
      <c r="D14" s="54"/>
      <c r="E14" s="54"/>
      <c r="F14" s="54"/>
      <c r="G14" s="54"/>
    </row>
    <row r="15" spans="1:7" ht="32.25" customHeight="1" thickBot="1">
      <c r="A15" s="44" t="s">
        <v>103</v>
      </c>
      <c r="B15" s="45"/>
      <c r="C15" s="45"/>
      <c r="D15" s="45"/>
      <c r="E15" s="45"/>
      <c r="F15" s="45"/>
      <c r="G15" s="45"/>
    </row>
  </sheetData>
  <mergeCells count="8">
    <mergeCell ref="B11:G11"/>
    <mergeCell ref="A5:A7"/>
    <mergeCell ref="B5:F5"/>
    <mergeCell ref="G5:G6"/>
    <mergeCell ref="A1:G1"/>
    <mergeCell ref="A2:G2"/>
    <mergeCell ref="A3:G3"/>
    <mergeCell ref="A4:G4"/>
  </mergeCells>
  <pageMargins left="0.70866141732283472" right="0.70866141732283472" top="0.74803149606299213" bottom="0.74803149606299213" header="0.31496062992125984" footer="0.31496062992125984"/>
  <pageSetup scale="45" orientation="landscape" verticalDpi="0" r:id="rId1"/>
  <headerFooter>
    <oddFooter>&amp;C&amp;P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14"/>
  <sheetViews>
    <sheetView view="pageBreakPreview" zoomScale="60" zoomScaleNormal="100" workbookViewId="0">
      <selection activeCell="A4" sqref="A4:H4"/>
    </sheetView>
  </sheetViews>
  <sheetFormatPr baseColWidth="10" defaultRowHeight="18.75"/>
  <cols>
    <col min="1" max="1" width="3" style="7" customWidth="1"/>
    <col min="2" max="2" width="51.140625" style="7" customWidth="1"/>
    <col min="3" max="8" width="24.42578125" style="7" customWidth="1"/>
    <col min="9" max="16384" width="11.42578125" style="7"/>
  </cols>
  <sheetData>
    <row r="1" spans="1:8" ht="19.5" thickBot="1"/>
    <row r="2" spans="1:8">
      <c r="A2" s="159" t="s">
        <v>205</v>
      </c>
      <c r="B2" s="160"/>
      <c r="C2" s="160"/>
      <c r="D2" s="160"/>
      <c r="E2" s="160"/>
      <c r="F2" s="160"/>
      <c r="G2" s="160"/>
      <c r="H2" s="161"/>
    </row>
    <row r="3" spans="1:8">
      <c r="A3" s="162" t="s">
        <v>86</v>
      </c>
      <c r="B3" s="163"/>
      <c r="C3" s="163"/>
      <c r="D3" s="163"/>
      <c r="E3" s="163"/>
      <c r="F3" s="163"/>
      <c r="G3" s="163"/>
      <c r="H3" s="164"/>
    </row>
    <row r="4" spans="1:8">
      <c r="A4" s="162" t="s">
        <v>125</v>
      </c>
      <c r="B4" s="163"/>
      <c r="C4" s="163"/>
      <c r="D4" s="163"/>
      <c r="E4" s="163"/>
      <c r="F4" s="163"/>
      <c r="G4" s="163"/>
      <c r="H4" s="164"/>
    </row>
    <row r="5" spans="1:8" ht="19.5" thickBot="1">
      <c r="A5" s="148" t="s">
        <v>231</v>
      </c>
      <c r="B5" s="149"/>
      <c r="C5" s="149"/>
      <c r="D5" s="149"/>
      <c r="E5" s="149"/>
      <c r="F5" s="149"/>
      <c r="G5" s="149"/>
      <c r="H5" s="150"/>
    </row>
    <row r="6" spans="1:8" ht="19.5" thickBot="1">
      <c r="A6" s="159" t="s">
        <v>88</v>
      </c>
      <c r="B6" s="209"/>
      <c r="C6" s="212" t="s">
        <v>89</v>
      </c>
      <c r="D6" s="213"/>
      <c r="E6" s="213"/>
      <c r="F6" s="213"/>
      <c r="G6" s="214"/>
      <c r="H6" s="215" t="s">
        <v>90</v>
      </c>
    </row>
    <row r="7" spans="1:8" ht="36.75" thickBot="1">
      <c r="A7" s="162"/>
      <c r="B7" s="210"/>
      <c r="C7" s="50" t="s">
        <v>91</v>
      </c>
      <c r="D7" s="50" t="s">
        <v>92</v>
      </c>
      <c r="E7" s="50" t="s">
        <v>93</v>
      </c>
      <c r="F7" s="50" t="s">
        <v>94</v>
      </c>
      <c r="G7" s="50" t="s">
        <v>95</v>
      </c>
      <c r="H7" s="216"/>
    </row>
    <row r="8" spans="1:8" ht="19.5" thickBot="1">
      <c r="A8" s="148"/>
      <c r="B8" s="211"/>
      <c r="C8" s="50">
        <v>1</v>
      </c>
      <c r="D8" s="50">
        <v>2</v>
      </c>
      <c r="E8" s="50" t="s">
        <v>96</v>
      </c>
      <c r="F8" s="50">
        <v>4</v>
      </c>
      <c r="G8" s="50">
        <v>5</v>
      </c>
      <c r="H8" s="50" t="s">
        <v>97</v>
      </c>
    </row>
    <row r="9" spans="1:8" s="99" customFormat="1" ht="30.75" customHeight="1">
      <c r="A9" s="207" t="s">
        <v>126</v>
      </c>
      <c r="B9" s="208"/>
      <c r="C9" s="95">
        <f>+C14</f>
        <v>10216348.1</v>
      </c>
      <c r="D9" s="95"/>
      <c r="E9" s="95">
        <f>SUM(C9:D9)</f>
        <v>10216348.1</v>
      </c>
      <c r="F9" s="95"/>
      <c r="G9" s="95"/>
      <c r="H9" s="95"/>
    </row>
    <row r="10" spans="1:8" ht="30.75" customHeight="1">
      <c r="A10" s="51"/>
      <c r="B10" s="52" t="s">
        <v>127</v>
      </c>
      <c r="C10" s="94"/>
      <c r="D10" s="94"/>
      <c r="E10" s="94">
        <f t="shared" ref="E10:E41" si="0">SUM(C10:D10)</f>
        <v>0</v>
      </c>
      <c r="F10" s="94"/>
      <c r="G10" s="94"/>
      <c r="H10" s="94"/>
    </row>
    <row r="11" spans="1:8" ht="30.75" customHeight="1">
      <c r="A11" s="51"/>
      <c r="B11" s="52" t="s">
        <v>128</v>
      </c>
      <c r="C11" s="94"/>
      <c r="D11" s="94"/>
      <c r="E11" s="94">
        <f t="shared" si="0"/>
        <v>0</v>
      </c>
      <c r="F11" s="94"/>
      <c r="G11" s="94"/>
      <c r="H11" s="94"/>
    </row>
    <row r="12" spans="1:8" ht="30.75" customHeight="1">
      <c r="A12" s="51"/>
      <c r="B12" s="52" t="s">
        <v>129</v>
      </c>
      <c r="C12" s="94"/>
      <c r="D12" s="94"/>
      <c r="E12" s="94">
        <f t="shared" si="0"/>
        <v>0</v>
      </c>
      <c r="F12" s="94"/>
      <c r="G12" s="94"/>
      <c r="H12" s="94"/>
    </row>
    <row r="13" spans="1:8" ht="30.75" customHeight="1">
      <c r="A13" s="51"/>
      <c r="B13" s="52" t="s">
        <v>130</v>
      </c>
      <c r="C13" s="94"/>
      <c r="D13" s="94"/>
      <c r="E13" s="94">
        <f t="shared" si="0"/>
        <v>0</v>
      </c>
      <c r="F13" s="94"/>
      <c r="G13" s="94"/>
      <c r="H13" s="94"/>
    </row>
    <row r="14" spans="1:8" ht="30.75" customHeight="1">
      <c r="A14" s="51"/>
      <c r="B14" s="52" t="s">
        <v>131</v>
      </c>
      <c r="C14" s="94">
        <v>10216348.1</v>
      </c>
      <c r="D14" s="94"/>
      <c r="E14" s="94">
        <f t="shared" si="0"/>
        <v>10216348.1</v>
      </c>
      <c r="F14" s="94"/>
      <c r="G14" s="94"/>
      <c r="H14" s="94"/>
    </row>
    <row r="15" spans="1:8" ht="30.75" customHeight="1">
      <c r="A15" s="51"/>
      <c r="B15" s="52" t="s">
        <v>132</v>
      </c>
      <c r="C15" s="94"/>
      <c r="D15" s="94"/>
      <c r="E15" s="94">
        <f t="shared" si="0"/>
        <v>0</v>
      </c>
      <c r="F15" s="94"/>
      <c r="G15" s="94"/>
      <c r="H15" s="94"/>
    </row>
    <row r="16" spans="1:8" ht="33" customHeight="1">
      <c r="A16" s="51"/>
      <c r="B16" s="52" t="s">
        <v>133</v>
      </c>
      <c r="C16" s="94"/>
      <c r="D16" s="94"/>
      <c r="E16" s="94">
        <f t="shared" si="0"/>
        <v>0</v>
      </c>
      <c r="F16" s="94"/>
      <c r="G16" s="94"/>
      <c r="H16" s="94"/>
    </row>
    <row r="17" spans="1:8" ht="30.75" customHeight="1">
      <c r="A17" s="51"/>
      <c r="B17" s="52" t="s">
        <v>41</v>
      </c>
      <c r="C17" s="94"/>
      <c r="D17" s="94"/>
      <c r="E17" s="94">
        <f t="shared" si="0"/>
        <v>0</v>
      </c>
      <c r="F17" s="94"/>
      <c r="G17" s="94"/>
      <c r="H17" s="94"/>
    </row>
    <row r="18" spans="1:8" ht="30.75" customHeight="1">
      <c r="A18" s="207" t="s">
        <v>134</v>
      </c>
      <c r="B18" s="208"/>
      <c r="C18" s="95">
        <f>+C20+C21+C24</f>
        <v>6498552.8999999994</v>
      </c>
      <c r="D18" s="95"/>
      <c r="E18" s="94">
        <f t="shared" si="0"/>
        <v>6498552.8999999994</v>
      </c>
      <c r="F18" s="95"/>
      <c r="G18" s="95"/>
      <c r="H18" s="95"/>
    </row>
    <row r="19" spans="1:8" ht="30.75" customHeight="1">
      <c r="A19" s="51"/>
      <c r="B19" s="52" t="s">
        <v>135</v>
      </c>
      <c r="C19" s="96"/>
      <c r="D19" s="96"/>
      <c r="E19" s="94">
        <f t="shared" si="0"/>
        <v>0</v>
      </c>
      <c r="F19" s="96"/>
      <c r="G19" s="96"/>
      <c r="H19" s="96"/>
    </row>
    <row r="20" spans="1:8" ht="30.75" customHeight="1">
      <c r="A20" s="51"/>
      <c r="B20" s="52" t="s">
        <v>136</v>
      </c>
      <c r="C20" s="96">
        <v>4711362.0999999996</v>
      </c>
      <c r="D20" s="96"/>
      <c r="E20" s="94">
        <f t="shared" si="0"/>
        <v>4711362.0999999996</v>
      </c>
      <c r="F20" s="96"/>
      <c r="G20" s="96"/>
      <c r="H20" s="96"/>
    </row>
    <row r="21" spans="1:8" ht="30.75" customHeight="1">
      <c r="A21" s="51"/>
      <c r="B21" s="52" t="s">
        <v>137</v>
      </c>
      <c r="C21" s="96">
        <v>1183190.8</v>
      </c>
      <c r="D21" s="96"/>
      <c r="E21" s="94">
        <f t="shared" si="0"/>
        <v>1183190.8</v>
      </c>
      <c r="F21" s="96"/>
      <c r="G21" s="96"/>
      <c r="H21" s="96"/>
    </row>
    <row r="22" spans="1:8" ht="30.75" customHeight="1">
      <c r="A22" s="51"/>
      <c r="B22" s="52" t="s">
        <v>138</v>
      </c>
      <c r="C22" s="96"/>
      <c r="D22" s="96"/>
      <c r="E22" s="94">
        <f t="shared" si="0"/>
        <v>0</v>
      </c>
      <c r="F22" s="96"/>
      <c r="G22" s="96"/>
      <c r="H22" s="96"/>
    </row>
    <row r="23" spans="1:8" ht="30.75" customHeight="1">
      <c r="A23" s="51"/>
      <c r="B23" s="52" t="s">
        <v>139</v>
      </c>
      <c r="C23" s="96"/>
      <c r="D23" s="96"/>
      <c r="E23" s="94">
        <f t="shared" si="0"/>
        <v>0</v>
      </c>
      <c r="F23" s="96"/>
      <c r="G23" s="96"/>
      <c r="H23" s="96"/>
    </row>
    <row r="24" spans="1:8" ht="30.75" customHeight="1">
      <c r="A24" s="51"/>
      <c r="B24" s="52" t="s">
        <v>140</v>
      </c>
      <c r="C24" s="96">
        <v>604000</v>
      </c>
      <c r="D24" s="96"/>
      <c r="E24" s="94">
        <f t="shared" si="0"/>
        <v>604000</v>
      </c>
      <c r="F24" s="96"/>
      <c r="G24" s="96"/>
      <c r="H24" s="96"/>
    </row>
    <row r="25" spans="1:8" ht="30.75" customHeight="1">
      <c r="A25" s="51"/>
      <c r="B25" s="52" t="s">
        <v>141</v>
      </c>
      <c r="C25" s="96"/>
      <c r="D25" s="96"/>
      <c r="E25" s="94">
        <f t="shared" si="0"/>
        <v>0</v>
      </c>
      <c r="F25" s="96"/>
      <c r="G25" s="96"/>
      <c r="H25" s="96"/>
    </row>
    <row r="26" spans="1:8" ht="30.75" customHeight="1">
      <c r="A26" s="207" t="s">
        <v>142</v>
      </c>
      <c r="B26" s="208"/>
      <c r="C26" s="97">
        <v>0</v>
      </c>
      <c r="D26" s="97"/>
      <c r="E26" s="94">
        <f t="shared" si="0"/>
        <v>0</v>
      </c>
      <c r="F26" s="97"/>
      <c r="G26" s="97"/>
      <c r="H26" s="97"/>
    </row>
    <row r="27" spans="1:8" ht="41.25" customHeight="1">
      <c r="A27" s="51"/>
      <c r="B27" s="52" t="s">
        <v>143</v>
      </c>
      <c r="C27" s="96"/>
      <c r="D27" s="96"/>
      <c r="E27" s="94">
        <f t="shared" si="0"/>
        <v>0</v>
      </c>
      <c r="F27" s="96"/>
      <c r="G27" s="96"/>
      <c r="H27" s="96"/>
    </row>
    <row r="28" spans="1:8" ht="30.75" customHeight="1">
      <c r="A28" s="51"/>
      <c r="B28" s="52" t="s">
        <v>144</v>
      </c>
      <c r="C28" s="96"/>
      <c r="D28" s="96"/>
      <c r="E28" s="94">
        <f t="shared" si="0"/>
        <v>0</v>
      </c>
      <c r="F28" s="96"/>
      <c r="G28" s="96"/>
      <c r="H28" s="96"/>
    </row>
    <row r="29" spans="1:8" ht="30.75" customHeight="1">
      <c r="A29" s="51"/>
      <c r="B29" s="52" t="s">
        <v>145</v>
      </c>
      <c r="C29" s="96"/>
      <c r="D29" s="96"/>
      <c r="E29" s="94">
        <f t="shared" si="0"/>
        <v>0</v>
      </c>
      <c r="F29" s="96"/>
      <c r="G29" s="96"/>
      <c r="H29" s="96"/>
    </row>
    <row r="30" spans="1:8" ht="37.5" customHeight="1">
      <c r="A30" s="51"/>
      <c r="B30" s="52" t="s">
        <v>146</v>
      </c>
      <c r="C30" s="96"/>
      <c r="D30" s="96"/>
      <c r="E30" s="94">
        <f t="shared" si="0"/>
        <v>0</v>
      </c>
      <c r="F30" s="96"/>
      <c r="G30" s="96"/>
      <c r="H30" s="96"/>
    </row>
    <row r="31" spans="1:8" ht="30.75" customHeight="1">
      <c r="A31" s="51"/>
      <c r="B31" s="52" t="s">
        <v>147</v>
      </c>
      <c r="C31" s="96"/>
      <c r="D31" s="96"/>
      <c r="E31" s="94">
        <f t="shared" si="0"/>
        <v>0</v>
      </c>
      <c r="F31" s="96"/>
      <c r="G31" s="96"/>
      <c r="H31" s="96"/>
    </row>
    <row r="32" spans="1:8" ht="30.75" customHeight="1">
      <c r="A32" s="51"/>
      <c r="B32" s="52" t="s">
        <v>148</v>
      </c>
      <c r="C32" s="96"/>
      <c r="D32" s="96"/>
      <c r="E32" s="94">
        <f t="shared" si="0"/>
        <v>0</v>
      </c>
      <c r="F32" s="96"/>
      <c r="G32" s="96"/>
      <c r="H32" s="96"/>
    </row>
    <row r="33" spans="1:8" ht="30.75" customHeight="1">
      <c r="A33" s="51"/>
      <c r="B33" s="52" t="s">
        <v>149</v>
      </c>
      <c r="C33" s="96"/>
      <c r="D33" s="96"/>
      <c r="E33" s="94">
        <f t="shared" si="0"/>
        <v>0</v>
      </c>
      <c r="F33" s="96"/>
      <c r="G33" s="96"/>
      <c r="H33" s="96"/>
    </row>
    <row r="34" spans="1:8" ht="30.75" customHeight="1">
      <c r="A34" s="51"/>
      <c r="B34" s="52" t="s">
        <v>150</v>
      </c>
      <c r="C34" s="96"/>
      <c r="D34" s="96"/>
      <c r="E34" s="94">
        <f t="shared" si="0"/>
        <v>0</v>
      </c>
      <c r="F34" s="96"/>
      <c r="G34" s="96"/>
      <c r="H34" s="96"/>
    </row>
    <row r="35" spans="1:8" ht="30.75" customHeight="1">
      <c r="A35" s="51"/>
      <c r="B35" s="52" t="s">
        <v>151</v>
      </c>
      <c r="C35" s="96"/>
      <c r="D35" s="96"/>
      <c r="E35" s="94">
        <f t="shared" si="0"/>
        <v>0</v>
      </c>
      <c r="F35" s="96"/>
      <c r="G35" s="96"/>
      <c r="H35" s="96"/>
    </row>
    <row r="36" spans="1:8" ht="35.25" customHeight="1">
      <c r="A36" s="207" t="s">
        <v>152</v>
      </c>
      <c r="B36" s="208"/>
      <c r="C36" s="97">
        <f>+C38</f>
        <v>831200</v>
      </c>
      <c r="D36" s="97"/>
      <c r="E36" s="94">
        <f t="shared" si="0"/>
        <v>831200</v>
      </c>
      <c r="F36" s="97"/>
      <c r="G36" s="97"/>
      <c r="H36" s="97"/>
    </row>
    <row r="37" spans="1:8" ht="55.5" customHeight="1">
      <c r="A37" s="51"/>
      <c r="B37" s="52" t="s">
        <v>153</v>
      </c>
      <c r="C37" s="96"/>
      <c r="D37" s="96"/>
      <c r="E37" s="94">
        <f t="shared" si="0"/>
        <v>0</v>
      </c>
      <c r="F37" s="96"/>
      <c r="G37" s="96"/>
      <c r="H37" s="96"/>
    </row>
    <row r="38" spans="1:8" ht="55.5" customHeight="1">
      <c r="A38" s="51"/>
      <c r="B38" s="52" t="s">
        <v>154</v>
      </c>
      <c r="C38" s="96">
        <v>831200</v>
      </c>
      <c r="D38" s="96"/>
      <c r="E38" s="94">
        <f t="shared" si="0"/>
        <v>831200</v>
      </c>
      <c r="F38" s="96"/>
      <c r="G38" s="96"/>
      <c r="H38" s="96"/>
    </row>
    <row r="39" spans="1:8" ht="55.5" customHeight="1">
      <c r="A39" s="51"/>
      <c r="B39" s="52" t="s">
        <v>155</v>
      </c>
      <c r="C39" s="96"/>
      <c r="D39" s="96"/>
      <c r="E39" s="94">
        <f t="shared" si="0"/>
        <v>0</v>
      </c>
      <c r="F39" s="96"/>
      <c r="G39" s="96"/>
      <c r="H39" s="96"/>
    </row>
    <row r="40" spans="1:8" ht="55.5" customHeight="1" thickBot="1">
      <c r="A40" s="51"/>
      <c r="B40" s="52" t="s">
        <v>156</v>
      </c>
      <c r="C40" s="96"/>
      <c r="D40" s="96"/>
      <c r="E40" s="94">
        <f t="shared" si="0"/>
        <v>0</v>
      </c>
      <c r="F40" s="96"/>
      <c r="G40" s="96"/>
      <c r="H40" s="96"/>
    </row>
    <row r="41" spans="1:8" ht="30.75" customHeight="1" thickBot="1">
      <c r="A41" s="55"/>
      <c r="B41" s="56" t="s">
        <v>103</v>
      </c>
      <c r="C41" s="98">
        <f>+C9+C18+C36</f>
        <v>17546101</v>
      </c>
      <c r="D41" s="98"/>
      <c r="E41" s="98">
        <f t="shared" si="0"/>
        <v>17546101</v>
      </c>
      <c r="F41" s="98"/>
      <c r="G41" s="98"/>
      <c r="H41" s="98"/>
    </row>
    <row r="42" spans="1:8" ht="30.75" customHeight="1"/>
    <row r="43" spans="1:8" ht="30.75" customHeight="1"/>
    <row r="44" spans="1:8" ht="30.75" customHeight="1"/>
    <row r="45" spans="1:8" ht="30.75" customHeight="1"/>
    <row r="46" spans="1:8" ht="30.75" customHeight="1"/>
    <row r="47" spans="1:8" ht="30.75" customHeight="1"/>
    <row r="48" spans="1:8" ht="30.75" customHeight="1"/>
    <row r="49" ht="30.75" customHeight="1"/>
    <row r="50" ht="30.75" customHeight="1"/>
    <row r="51" ht="30.75" customHeight="1"/>
    <row r="52" ht="30.75" customHeight="1"/>
    <row r="53" ht="30.75" customHeight="1"/>
    <row r="54" ht="30.75" customHeight="1"/>
    <row r="55" ht="30.75" customHeight="1"/>
    <row r="56" ht="30.75" customHeight="1"/>
    <row r="57" ht="30.75" customHeight="1"/>
    <row r="58" ht="30.75" customHeight="1"/>
    <row r="59" ht="30.75" customHeight="1"/>
    <row r="60" ht="30.75" customHeight="1"/>
    <row r="61" ht="30.75" customHeight="1"/>
    <row r="62" ht="30.75" customHeight="1"/>
    <row r="63" ht="30.75" customHeight="1"/>
    <row r="64" ht="30.75" customHeight="1"/>
    <row r="65" ht="30.75" customHeight="1"/>
    <row r="66" ht="30.75" customHeight="1"/>
    <row r="67" ht="30.75" customHeight="1"/>
    <row r="68" ht="30.75" customHeight="1"/>
    <row r="69" ht="30.75" customHeight="1"/>
    <row r="70" ht="30.75" customHeight="1"/>
    <row r="71" ht="30.75" customHeight="1"/>
    <row r="72" ht="30.75" customHeight="1"/>
    <row r="73" ht="30.75" customHeight="1"/>
    <row r="74" ht="30.75" customHeight="1"/>
    <row r="75" ht="30.75" customHeight="1"/>
    <row r="76" ht="30.75" customHeight="1"/>
    <row r="77" ht="30.75" customHeight="1"/>
    <row r="78" ht="30.75" customHeight="1"/>
    <row r="79" ht="30.75" customHeight="1"/>
    <row r="80" ht="30.75" customHeight="1"/>
    <row r="81" ht="30.75" customHeight="1"/>
    <row r="82" ht="30.75" customHeight="1"/>
    <row r="83" ht="30.75" customHeight="1"/>
    <row r="84" ht="30.75" customHeight="1"/>
    <row r="85" ht="30.75" customHeight="1"/>
    <row r="86" ht="30.75" customHeight="1"/>
    <row r="87" ht="30.75" customHeight="1"/>
    <row r="88" ht="30.75" customHeight="1"/>
    <row r="89" ht="30.75" customHeight="1"/>
    <row r="90" ht="30.75" customHeight="1"/>
    <row r="91" ht="30.75" customHeight="1"/>
    <row r="92" ht="30.75" customHeight="1"/>
    <row r="93" ht="30.75" customHeight="1"/>
    <row r="94" ht="30.75" customHeight="1"/>
    <row r="95" ht="30.75" customHeight="1"/>
    <row r="96" ht="30.75" customHeight="1"/>
    <row r="97" ht="30.75" customHeight="1"/>
    <row r="98" ht="30.75" customHeight="1"/>
    <row r="99" ht="30.75" customHeight="1"/>
    <row r="100" ht="30.75" customHeight="1"/>
    <row r="101" ht="30.75" customHeight="1"/>
    <row r="102" ht="30.75" customHeight="1"/>
    <row r="103" ht="30.75" customHeight="1"/>
    <row r="104" ht="30.75" customHeight="1"/>
    <row r="105" ht="30.75" customHeight="1"/>
    <row r="106" ht="30.75" customHeight="1"/>
    <row r="107" ht="30.75" customHeight="1"/>
    <row r="108" ht="30.75" customHeight="1"/>
    <row r="109" ht="30.75" customHeight="1"/>
    <row r="110" ht="30.75" customHeight="1"/>
    <row r="111" ht="30.75" customHeight="1"/>
    <row r="112" ht="30.75" customHeight="1"/>
    <row r="113" ht="30.75" customHeight="1"/>
    <row r="114" ht="30.75" customHeight="1"/>
  </sheetData>
  <mergeCells count="11">
    <mergeCell ref="A9:B9"/>
    <mergeCell ref="A18:B18"/>
    <mergeCell ref="A26:B26"/>
    <mergeCell ref="A36:B36"/>
    <mergeCell ref="A2:H2"/>
    <mergeCell ref="A3:H3"/>
    <mergeCell ref="A4:H4"/>
    <mergeCell ref="A5:H5"/>
    <mergeCell ref="A6:B8"/>
    <mergeCell ref="C6:G6"/>
    <mergeCell ref="H6:H7"/>
  </mergeCells>
  <pageMargins left="0.70866141732283472" right="0.70866141732283472" top="0.74803149606299213" bottom="0.74803149606299213" header="0.31496062992125984" footer="0.31496062992125984"/>
  <pageSetup scale="60" orientation="landscape" verticalDpi="0" r:id="rId1"/>
  <headerFooter>
    <oddFooter>&amp;C&amp;P</oddFooter>
  </headerFooter>
  <rowBreaks count="1" manualBreakCount="1">
    <brk id="25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6"/>
  <sheetViews>
    <sheetView zoomScaleNormal="100" workbookViewId="0">
      <selection activeCell="B8" sqref="B8"/>
    </sheetView>
  </sheetViews>
  <sheetFormatPr baseColWidth="10" defaultRowHeight="15.75"/>
  <cols>
    <col min="1" max="1" width="40.5703125" style="5" customWidth="1"/>
    <col min="2" max="2" width="30.28515625" style="5" customWidth="1"/>
    <col min="3" max="8" width="24.42578125" style="5" customWidth="1"/>
    <col min="9" max="16384" width="11.42578125" style="5"/>
  </cols>
  <sheetData>
    <row r="1" spans="1:3">
      <c r="A1" s="128" t="s">
        <v>205</v>
      </c>
      <c r="B1" s="129"/>
      <c r="C1" s="130"/>
    </row>
    <row r="2" spans="1:3">
      <c r="A2" s="131" t="s">
        <v>169</v>
      </c>
      <c r="B2" s="132"/>
      <c r="C2" s="133"/>
    </row>
    <row r="3" spans="1:3" ht="16.5" thickBot="1">
      <c r="A3" s="134" t="s">
        <v>231</v>
      </c>
      <c r="B3" s="135"/>
      <c r="C3" s="136"/>
    </row>
    <row r="4" spans="1:3" ht="16.5" thickBot="1">
      <c r="A4" s="220"/>
      <c r="B4" s="220"/>
      <c r="C4" s="220"/>
    </row>
    <row r="5" spans="1:3" ht="32.25" thickBot="1">
      <c r="A5" s="57" t="s">
        <v>158</v>
      </c>
      <c r="B5" s="58" t="s">
        <v>94</v>
      </c>
      <c r="C5" s="58" t="s">
        <v>95</v>
      </c>
    </row>
    <row r="6" spans="1:3" ht="27.75" customHeight="1" thickBot="1">
      <c r="A6" s="221" t="s">
        <v>164</v>
      </c>
      <c r="B6" s="222"/>
      <c r="C6" s="223"/>
    </row>
    <row r="7" spans="1:3" ht="16.5" thickBot="1">
      <c r="A7" s="35" t="s">
        <v>211</v>
      </c>
      <c r="B7" s="104">
        <f>115948.16+132867.24</f>
        <v>248815.4</v>
      </c>
      <c r="C7" s="104">
        <f>+B7</f>
        <v>248815.4</v>
      </c>
    </row>
    <row r="8" spans="1:3" ht="16.5" thickBot="1">
      <c r="A8" s="48"/>
      <c r="B8" s="105"/>
      <c r="C8" s="105"/>
    </row>
    <row r="9" spans="1:3" ht="16.5" thickBot="1">
      <c r="A9" s="48"/>
      <c r="B9" s="105"/>
      <c r="C9" s="105"/>
    </row>
    <row r="10" spans="1:3" ht="16.5" thickBot="1">
      <c r="A10" s="48"/>
      <c r="B10" s="105"/>
      <c r="C10" s="105"/>
    </row>
    <row r="11" spans="1:3" ht="16.5" thickBot="1">
      <c r="A11" s="48"/>
      <c r="B11" s="105"/>
      <c r="C11" s="105"/>
    </row>
    <row r="12" spans="1:3" ht="16.5" thickBot="1">
      <c r="A12" s="48"/>
      <c r="B12" s="105"/>
      <c r="C12" s="105"/>
    </row>
    <row r="13" spans="1:3" ht="16.5" thickBot="1">
      <c r="A13" s="48"/>
      <c r="B13" s="105"/>
      <c r="C13" s="105"/>
    </row>
    <row r="14" spans="1:3" ht="33" customHeight="1" thickBot="1">
      <c r="A14" s="59" t="s">
        <v>170</v>
      </c>
      <c r="B14" s="105">
        <f>SUM(B7:B13)</f>
        <v>248815.4</v>
      </c>
      <c r="C14" s="105">
        <f>SUM(C7:C13)</f>
        <v>248815.4</v>
      </c>
    </row>
    <row r="15" spans="1:3" ht="16.5" thickBot="1">
      <c r="A15" s="48"/>
      <c r="B15" s="105"/>
      <c r="C15" s="105"/>
    </row>
    <row r="16" spans="1:3" ht="16.5" thickBot="1">
      <c r="A16" s="217" t="s">
        <v>166</v>
      </c>
      <c r="B16" s="218"/>
      <c r="C16" s="219"/>
    </row>
    <row r="17" spans="1:3" ht="16.5" thickBot="1">
      <c r="A17" s="47"/>
      <c r="B17" s="104"/>
      <c r="C17" s="104"/>
    </row>
    <row r="18" spans="1:3" ht="16.5" thickBot="1">
      <c r="A18" s="48"/>
      <c r="B18" s="105"/>
      <c r="C18" s="105"/>
    </row>
    <row r="19" spans="1:3" ht="16.5" thickBot="1">
      <c r="A19" s="48"/>
      <c r="B19" s="105"/>
      <c r="C19" s="105"/>
    </row>
    <row r="20" spans="1:3" ht="16.5" thickBot="1">
      <c r="A20" s="48"/>
      <c r="B20" s="105"/>
      <c r="C20" s="105"/>
    </row>
    <row r="21" spans="1:3" ht="16.5" thickBot="1">
      <c r="A21" s="48"/>
      <c r="B21" s="105"/>
      <c r="C21" s="105"/>
    </row>
    <row r="22" spans="1:3" ht="16.5" thickBot="1">
      <c r="A22" s="48"/>
      <c r="B22" s="105"/>
      <c r="C22" s="105"/>
    </row>
    <row r="23" spans="1:3" ht="16.5" thickBot="1">
      <c r="A23" s="48"/>
      <c r="B23" s="105"/>
      <c r="C23" s="105"/>
    </row>
    <row r="24" spans="1:3" ht="33" customHeight="1" thickBot="1">
      <c r="A24" s="59" t="s">
        <v>171</v>
      </c>
      <c r="B24" s="105"/>
      <c r="C24" s="105"/>
    </row>
    <row r="25" spans="1:3" ht="16.5" thickBot="1">
      <c r="A25" s="48"/>
      <c r="B25" s="105"/>
      <c r="C25" s="105"/>
    </row>
    <row r="26" spans="1:3" ht="16.5" thickBot="1">
      <c r="A26" s="49" t="s">
        <v>168</v>
      </c>
      <c r="B26" s="106">
        <f>SUM(B14,B24)</f>
        <v>248815.4</v>
      </c>
      <c r="C26" s="106">
        <f>SUM(C14,C24)</f>
        <v>248815.4</v>
      </c>
    </row>
  </sheetData>
  <mergeCells count="6">
    <mergeCell ref="A16:C16"/>
    <mergeCell ref="A1:C1"/>
    <mergeCell ref="A2:C2"/>
    <mergeCell ref="A3:C3"/>
    <mergeCell ref="A4:C4"/>
    <mergeCell ref="A6:C6"/>
  </mergeCells>
  <pageMargins left="0.70866141732283472" right="0.70866141732283472" top="0.74803149606299213" bottom="0.74803149606299213" header="0.31496062992125984" footer="0.31496062992125984"/>
  <pageSetup scale="94" orientation="portrait" verticalDpi="0" r:id="rId1"/>
  <headerFooter>
    <oddFooter>&amp;C&amp;P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7"/>
  <sheetViews>
    <sheetView zoomScaleNormal="100" workbookViewId="0">
      <selection activeCell="C8" sqref="C8"/>
    </sheetView>
  </sheetViews>
  <sheetFormatPr baseColWidth="10" defaultRowHeight="15"/>
  <cols>
    <col min="1" max="1" width="37.28515625" style="3" customWidth="1"/>
    <col min="2" max="4" width="25.42578125" style="3" customWidth="1"/>
    <col min="5" max="8" width="24.42578125" style="3" customWidth="1"/>
    <col min="9" max="16384" width="11.42578125" style="3"/>
  </cols>
  <sheetData>
    <row r="1" spans="1:4">
      <c r="A1" s="227" t="s">
        <v>207</v>
      </c>
      <c r="B1" s="228"/>
      <c r="C1" s="228"/>
      <c r="D1" s="229"/>
    </row>
    <row r="2" spans="1:4">
      <c r="A2" s="230" t="s">
        <v>157</v>
      </c>
      <c r="B2" s="231"/>
      <c r="C2" s="231"/>
      <c r="D2" s="232"/>
    </row>
    <row r="3" spans="1:4" ht="15.75" thickBot="1">
      <c r="A3" s="233" t="s">
        <v>231</v>
      </c>
      <c r="B3" s="234"/>
      <c r="C3" s="234"/>
      <c r="D3" s="235"/>
    </row>
    <row r="4" spans="1:4" ht="15.75" thickBot="1">
      <c r="A4" s="236"/>
      <c r="B4" s="236"/>
      <c r="C4" s="236"/>
      <c r="D4" s="236"/>
    </row>
    <row r="5" spans="1:4" ht="30.75" thickBot="1">
      <c r="A5" s="237" t="s">
        <v>158</v>
      </c>
      <c r="B5" s="46" t="s">
        <v>159</v>
      </c>
      <c r="C5" s="46" t="s">
        <v>160</v>
      </c>
      <c r="D5" s="46" t="s">
        <v>157</v>
      </c>
    </row>
    <row r="6" spans="1:4" ht="15.75" thickBot="1">
      <c r="A6" s="238"/>
      <c r="B6" s="34" t="s">
        <v>161</v>
      </c>
      <c r="C6" s="34" t="s">
        <v>162</v>
      </c>
      <c r="D6" s="34" t="s">
        <v>163</v>
      </c>
    </row>
    <row r="7" spans="1:4" ht="15.75" thickBot="1">
      <c r="A7" s="224" t="s">
        <v>164</v>
      </c>
      <c r="B7" s="225"/>
      <c r="C7" s="225"/>
      <c r="D7" s="226"/>
    </row>
    <row r="8" spans="1:4" ht="15.75" thickBot="1">
      <c r="A8" s="35" t="s">
        <v>211</v>
      </c>
      <c r="B8" s="101">
        <v>2300000</v>
      </c>
      <c r="C8" s="100">
        <f>448780.48+673170.72</f>
        <v>1121951.2</v>
      </c>
      <c r="D8" s="101">
        <f>B8-C8</f>
        <v>1178048.8</v>
      </c>
    </row>
    <row r="9" spans="1:4" ht="15.75" thickBot="1">
      <c r="A9" s="36"/>
      <c r="B9" s="101"/>
      <c r="C9" s="101"/>
      <c r="D9" s="101"/>
    </row>
    <row r="10" spans="1:4" ht="15.75" thickBot="1">
      <c r="A10" s="36"/>
      <c r="B10" s="101"/>
      <c r="C10" s="101"/>
      <c r="D10" s="101"/>
    </row>
    <row r="11" spans="1:4" ht="15.75" thickBot="1">
      <c r="A11" s="36"/>
      <c r="B11" s="101"/>
      <c r="C11" s="101"/>
      <c r="D11" s="101"/>
    </row>
    <row r="12" spans="1:4" ht="15.75" thickBot="1">
      <c r="A12" s="36"/>
      <c r="B12" s="101"/>
      <c r="C12" s="101"/>
      <c r="D12" s="101"/>
    </row>
    <row r="13" spans="1:4" ht="15.75" thickBot="1">
      <c r="A13" s="36"/>
      <c r="B13" s="101"/>
      <c r="C13" s="101"/>
      <c r="D13" s="101"/>
    </row>
    <row r="14" spans="1:4" ht="15.75" thickBot="1">
      <c r="A14" s="36"/>
      <c r="B14" s="101"/>
      <c r="C14" s="101"/>
      <c r="D14" s="101"/>
    </row>
    <row r="15" spans="1:4" ht="15.75" thickBot="1">
      <c r="A15" s="37" t="s">
        <v>165</v>
      </c>
      <c r="B15" s="101">
        <v>2300000</v>
      </c>
      <c r="C15" s="100">
        <f>+C8</f>
        <v>1121951.2</v>
      </c>
      <c r="D15" s="101">
        <f>B15-C15</f>
        <v>1178048.8</v>
      </c>
    </row>
    <row r="16" spans="1:4" ht="15.75" thickBot="1">
      <c r="A16" s="36"/>
      <c r="B16" s="101"/>
      <c r="C16" s="101"/>
      <c r="D16" s="101"/>
    </row>
    <row r="17" spans="1:4" ht="15.75" thickBot="1">
      <c r="A17" s="224" t="s">
        <v>166</v>
      </c>
      <c r="B17" s="225"/>
      <c r="C17" s="225"/>
      <c r="D17" s="226"/>
    </row>
    <row r="18" spans="1:4" ht="15.75" thickBot="1">
      <c r="A18" s="35"/>
      <c r="B18" s="100"/>
      <c r="C18" s="100"/>
      <c r="D18" s="100"/>
    </row>
    <row r="19" spans="1:4" ht="15.75" thickBot="1">
      <c r="A19" s="36"/>
      <c r="B19" s="101"/>
      <c r="C19" s="101"/>
      <c r="D19" s="101"/>
    </row>
    <row r="20" spans="1:4" ht="15.75" thickBot="1">
      <c r="A20" s="36"/>
      <c r="B20" s="101"/>
      <c r="C20" s="101"/>
      <c r="D20" s="101"/>
    </row>
    <row r="21" spans="1:4" ht="15.75" thickBot="1">
      <c r="A21" s="36"/>
      <c r="B21" s="101"/>
      <c r="C21" s="101"/>
      <c r="D21" s="101"/>
    </row>
    <row r="22" spans="1:4" ht="15.75" thickBot="1">
      <c r="A22" s="36"/>
      <c r="B22" s="101"/>
      <c r="C22" s="101"/>
      <c r="D22" s="101"/>
    </row>
    <row r="23" spans="1:4" ht="15.75" thickBot="1">
      <c r="A23" s="36"/>
      <c r="B23" s="101"/>
      <c r="C23" s="101"/>
      <c r="D23" s="101"/>
    </row>
    <row r="24" spans="1:4" ht="15.75" thickBot="1">
      <c r="A24" s="36"/>
      <c r="B24" s="101"/>
      <c r="C24" s="101"/>
      <c r="D24" s="101"/>
    </row>
    <row r="25" spans="1:4" ht="15.75" thickBot="1">
      <c r="A25" s="37" t="s">
        <v>167</v>
      </c>
      <c r="B25" s="102"/>
      <c r="C25" s="102"/>
      <c r="D25" s="102">
        <f>B25-C25</f>
        <v>0</v>
      </c>
    </row>
    <row r="26" spans="1:4" ht="15.75" thickBot="1">
      <c r="A26" s="37"/>
      <c r="B26" s="102"/>
      <c r="C26" s="102"/>
      <c r="D26" s="102"/>
    </row>
    <row r="27" spans="1:4" ht="15.75" thickBot="1">
      <c r="A27" s="38" t="s">
        <v>168</v>
      </c>
      <c r="B27" s="103">
        <f>SUM(B15,B25)</f>
        <v>2300000</v>
      </c>
      <c r="C27" s="103">
        <f>+C15</f>
        <v>1121951.2</v>
      </c>
      <c r="D27" s="103">
        <f>SUM(D25,D15)</f>
        <v>1178048.8</v>
      </c>
    </row>
  </sheetData>
  <mergeCells count="7">
    <mergeCell ref="A17:D17"/>
    <mergeCell ref="A1:D1"/>
    <mergeCell ref="A2:D2"/>
    <mergeCell ref="A3:D3"/>
    <mergeCell ref="A4:D4"/>
    <mergeCell ref="A5:A6"/>
    <mergeCell ref="A7:D7"/>
  </mergeCells>
  <pageMargins left="0.70866141732283472" right="0.70866141732283472" top="0.74803149606299213" bottom="0.74803149606299213" header="0.31496062992125984" footer="0.31496062992125984"/>
  <pageSetup scale="79" orientation="portrait" verticalDpi="0" r:id="rId1"/>
  <headerFoot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8</vt:i4>
      </vt:variant>
    </vt:vector>
  </HeadingPairs>
  <TitlesOfParts>
    <vt:vector size="22" baseType="lpstr">
      <vt:lpstr>CPE</vt:lpstr>
      <vt:lpstr>EAEPE COG</vt:lpstr>
      <vt:lpstr>EAEPE CE </vt:lpstr>
      <vt:lpstr>EAEPE CA</vt:lpstr>
      <vt:lpstr>EAEPE CA 2</vt:lpstr>
      <vt:lpstr>EAEPE CA 3</vt:lpstr>
      <vt:lpstr>EAEPE CF</vt:lpstr>
      <vt:lpstr>ID</vt:lpstr>
      <vt:lpstr>EN</vt:lpstr>
      <vt:lpstr>PREGUNTAS</vt:lpstr>
      <vt:lpstr>ING EGR</vt:lpstr>
      <vt:lpstr>INF ADICIONAL 1</vt:lpstr>
      <vt:lpstr>INF ADICIONAL 2</vt:lpstr>
      <vt:lpstr>INF ADICIONAL 3</vt:lpstr>
      <vt:lpstr>'EAEPE CA 2'!Área_de_impresión</vt:lpstr>
      <vt:lpstr>CPE!Títulos_a_imprimir</vt:lpstr>
      <vt:lpstr>'EAEPE CA'!Títulos_a_imprimir</vt:lpstr>
      <vt:lpstr>'EAEPE CA 2'!Títulos_a_imprimir</vt:lpstr>
      <vt:lpstr>'EAEPE CA 3'!Títulos_a_imprimir</vt:lpstr>
      <vt:lpstr>'EAEPE CE '!Títulos_a_imprimir</vt:lpstr>
      <vt:lpstr>'EAEPE CF'!Títulos_a_imprimir</vt:lpstr>
      <vt:lpstr>'EAEPE COG'!Títulos_a_imprimir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Centor</cp:lastModifiedBy>
  <cp:lastPrinted>2017-02-22T18:38:15Z</cp:lastPrinted>
  <dcterms:created xsi:type="dcterms:W3CDTF">2016-02-12T19:31:35Z</dcterms:created>
  <dcterms:modified xsi:type="dcterms:W3CDTF">2017-02-22T18:44:58Z</dcterms:modified>
</cp:coreProperties>
</file>